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520" windowHeight="9795" tabRatio="862"/>
  </bookViews>
  <sheets>
    <sheet name=" Introduction" sheetId="1" r:id="rId1"/>
    <sheet name="Instructions" sheetId="2" r:id="rId2"/>
    <sheet name="Index" sheetId="11" r:id="rId3"/>
    <sheet name="C_User_Input" sheetId="10" r:id="rId4"/>
    <sheet name="P_User_Input" sheetId="38" r:id="rId5"/>
    <sheet name="C+P_Output_Summary" sheetId="20" r:id="rId6"/>
    <sheet name="C_Output_Summary" sheetId="30" r:id="rId7"/>
    <sheet name="P_Output_Summary" sheetId="31" r:id="rId8"/>
    <sheet name="C+P_Output_EU marinas" sheetId="4" r:id="rId9"/>
    <sheet name="C+P_Output_Regulatory_Marinas" sheetId="34" r:id="rId10"/>
    <sheet name="C_Output_EU marinas" sheetId="32" r:id="rId11"/>
    <sheet name="C_Output_Regulatory_Marinas" sheetId="35" r:id="rId12"/>
    <sheet name="P_Output_EU marinas" sheetId="33" r:id="rId13"/>
    <sheet name="P_Output_Regulatory_Marinas" sheetId="26" r:id="rId14"/>
    <sheet name="Copper_Input" sheetId="3" r:id="rId15"/>
    <sheet name="Pyrithione_Input" sheetId="29" r:id="rId16"/>
    <sheet name="C+P_EU Marinas_Scenario_Calc" sheetId="37" state="hidden" r:id="rId17"/>
    <sheet name="C+P_Regulatory_ Marinas_Calc" sheetId="36" state="hidden" r:id="rId18"/>
    <sheet name="C_EU Marinas_Scenario_Calc" sheetId="6" state="hidden" r:id="rId19"/>
    <sheet name="C_Regulatory_ Marinas_Calc" sheetId="25" state="hidden" r:id="rId20"/>
    <sheet name="P_EU Marinas_Scenario_Calc" sheetId="28" state="hidden" r:id="rId21"/>
    <sheet name="P_Regulatory_ Marinas_Calc" sheetId="27" state="hidden" r:id="rId22"/>
  </sheets>
  <definedNames>
    <definedName name="Application_Conversion_Factor">'C_EU Marinas_Scenario_Calc'!$G$17</definedName>
    <definedName name="Application_Factor">C_User_Input!$H$7</definedName>
    <definedName name="C_a">C_User_Input!$I$22</definedName>
    <definedName name="C_Average_biocide_release_over_the_lifetime_of_the_paint_C">C_User_Input!$I$30</definedName>
    <definedName name="C_Average_biocide_release_over_the_lifetime_of_the_paint_M">C_User_Input!$H$11</definedName>
    <definedName name="C_Background_Sed_Freshwater">C_User_Input!$C$20</definedName>
    <definedName name="C_Background_SW_Freshwater">C_User_Input!$C$19</definedName>
    <definedName name="C_Compound_Name">Copper_Input!$C$6</definedName>
    <definedName name="C_DFT">C_User_Input!$I$25</definedName>
    <definedName name="C_La">C_User_Input!$I$21</definedName>
    <definedName name="C_Leaching_Conversion_Factor">'C_EU Marinas_Scenario_Calc'!$G$11</definedName>
    <definedName name="C_Mrel">C_User_Input!$I$29</definedName>
    <definedName name="C_PNEC_Aquatic_Inside">C_User_Input!$C$12</definedName>
    <definedName name="C_PNEC_Aquatic_Surrounding">C_User_Input!$D$12</definedName>
    <definedName name="C_PNEC_Sediment_Inside">C_User_Input!$C$13</definedName>
    <definedName name="C_PNEC_Sediment_Surrounding">C_User_Input!$D$13</definedName>
    <definedName name="C_t">C_User_Input!$I$27</definedName>
    <definedName name="C_VS">C_User_Input!$I$26</definedName>
    <definedName name="C_ƿ">C_User_Input!$I$24</definedName>
    <definedName name="C_Wa">C_User_Input!$I$23</definedName>
    <definedName name="P_a" localSheetId="4">P_User_Input!$I$22</definedName>
    <definedName name="P_Average_biocide_release_over_the_lifetime_of_the_paint_C">P_User_Input!$I$30</definedName>
    <definedName name="P_Average_biocide_release_over_the_lifetime_of_the_paint_M">P_User_Input!$H$11</definedName>
    <definedName name="P_Background_Sed_Freshwater">P_User_Input!$C$20</definedName>
    <definedName name="P_Background_SW_Freshwater">P_User_Input!$C$20</definedName>
    <definedName name="P_Compound_Name">Pyrithione_Input!$C$6</definedName>
    <definedName name="P_DFT" localSheetId="4">P_User_Input!$I$25</definedName>
    <definedName name="P_La" localSheetId="4">P_User_Input!$I$21</definedName>
    <definedName name="P_Leaching_Conversion_Factor">'P_EU Marinas_Scenario_Calc'!$G$11</definedName>
    <definedName name="P_Mrel" localSheetId="4">P_User_Input!$I$29</definedName>
    <definedName name="P_PNEC_Aquatic_Inside">P_User_Input!$C$12</definedName>
    <definedName name="P_PNEC_Aquatic_Surrounding">P_User_Input!$D$12</definedName>
    <definedName name="P_PNEC_Sediment_Inside">P_User_Input!$C$13</definedName>
    <definedName name="P_PNEC_Sediment_Surrounding">P_User_Input!$D$13</definedName>
    <definedName name="P_t" localSheetId="4">P_User_Input!$I$27</definedName>
    <definedName name="P_VS" localSheetId="4">P_User_Input!$I$26</definedName>
    <definedName name="P_ƿ" localSheetId="4">P_User_Input!$I$24</definedName>
    <definedName name="P_Wa" localSheetId="4">P_User_Input!$I$23</definedName>
    <definedName name="Substance">' Introduction'!$B$4</definedName>
    <definedName name="Tooltype">' Introduction'!$B$5</definedName>
    <definedName name="Version">' Introduction'!$B$3</definedName>
    <definedName name="WSA_ConversionFactor">'C_EU Marinas_Scenario_Calc'!$P$8</definedName>
    <definedName name="WSA_freshwater">'C_EU Marinas_Scenario_Calc'!$P$7</definedName>
    <definedName name="WSA_OECD_default">'C_EU Marinas_Scenario_Calc'!$P$6</definedName>
  </definedNames>
  <calcPr calcId="145621"/>
</workbook>
</file>

<file path=xl/calcChain.xml><?xml version="1.0" encoding="utf-8"?>
<calcChain xmlns="http://schemas.openxmlformats.org/spreadsheetml/2006/main">
  <c r="P8" i="6" l="1"/>
  <c r="P8" i="28"/>
  <c r="P7" i="28"/>
  <c r="P6" i="28"/>
  <c r="B6" i="38" l="1"/>
  <c r="B6" i="10" l="1"/>
  <c r="P22" i="27" l="1"/>
  <c r="O22" i="27"/>
  <c r="N22" i="27"/>
  <c r="M22" i="27"/>
  <c r="C22" i="27"/>
  <c r="P21" i="27"/>
  <c r="O21" i="27"/>
  <c r="N21" i="27"/>
  <c r="M21" i="27"/>
  <c r="C21" i="27"/>
  <c r="G16" i="27"/>
  <c r="B3" i="27"/>
  <c r="E66" i="28"/>
  <c r="E65" i="28"/>
  <c r="E64" i="28"/>
  <c r="E63" i="28"/>
  <c r="E62" i="28"/>
  <c r="E61" i="28"/>
  <c r="E60" i="28"/>
  <c r="E59" i="28"/>
  <c r="E58" i="28"/>
  <c r="E57" i="28"/>
  <c r="E56" i="28"/>
  <c r="E55" i="28"/>
  <c r="E54" i="28"/>
  <c r="E53" i="28"/>
  <c r="E52" i="28"/>
  <c r="E51" i="28"/>
  <c r="E50" i="28"/>
  <c r="E49" i="28"/>
  <c r="E48" i="28"/>
  <c r="E47" i="28"/>
  <c r="E46" i="28"/>
  <c r="E45" i="28"/>
  <c r="E44" i="28"/>
  <c r="E43" i="28"/>
  <c r="E42" i="28"/>
  <c r="E41" i="28"/>
  <c r="E40" i="28"/>
  <c r="E39" i="28"/>
  <c r="E38" i="28"/>
  <c r="E37" i="28"/>
  <c r="E36" i="28"/>
  <c r="E35" i="28"/>
  <c r="E34" i="28"/>
  <c r="E33" i="28"/>
  <c r="E32" i="28"/>
  <c r="E31" i="28"/>
  <c r="E30" i="28"/>
  <c r="E29" i="28"/>
  <c r="E28" i="28"/>
  <c r="E27" i="28"/>
  <c r="E26" i="28"/>
  <c r="E25" i="28"/>
  <c r="E24" i="28"/>
  <c r="E23" i="28"/>
  <c r="E22" i="28"/>
  <c r="R21" i="28"/>
  <c r="Q21" i="28"/>
  <c r="P21" i="28"/>
  <c r="O21" i="28"/>
  <c r="E21" i="28"/>
  <c r="G16" i="28"/>
  <c r="G9" i="28"/>
  <c r="G7" i="28"/>
  <c r="B3" i="28"/>
  <c r="P22" i="25"/>
  <c r="O22" i="25"/>
  <c r="N22" i="25"/>
  <c r="M22" i="25"/>
  <c r="C22" i="25"/>
  <c r="P21" i="25"/>
  <c r="O21" i="25"/>
  <c r="N21" i="25"/>
  <c r="M21" i="25"/>
  <c r="C21" i="25"/>
  <c r="G16" i="25"/>
  <c r="G9" i="25"/>
  <c r="G7" i="25"/>
  <c r="B3" i="25"/>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R21" i="6"/>
  <c r="Q21" i="6"/>
  <c r="P21" i="6"/>
  <c r="O21" i="6"/>
  <c r="E21" i="6"/>
  <c r="G16" i="6"/>
  <c r="G17" i="6" s="1"/>
  <c r="G9" i="6"/>
  <c r="G7" i="6"/>
  <c r="B3" i="6"/>
  <c r="C8" i="36"/>
  <c r="C7" i="36"/>
  <c r="B3" i="36"/>
  <c r="E52" i="37"/>
  <c r="E51" i="37"/>
  <c r="E50" i="37"/>
  <c r="E49" i="37"/>
  <c r="E48" i="37"/>
  <c r="E47" i="37"/>
  <c r="E46" i="37"/>
  <c r="E45" i="37"/>
  <c r="E44" i="37"/>
  <c r="E43" i="37"/>
  <c r="E42" i="37"/>
  <c r="E41" i="37"/>
  <c r="E40" i="37"/>
  <c r="E39" i="37"/>
  <c r="E38" i="37"/>
  <c r="E37" i="37"/>
  <c r="E36" i="37"/>
  <c r="E35" i="37"/>
  <c r="E34" i="37"/>
  <c r="E33" i="37"/>
  <c r="E32" i="37"/>
  <c r="E31" i="37"/>
  <c r="E30" i="37"/>
  <c r="E29" i="37"/>
  <c r="E28" i="37"/>
  <c r="E27" i="37"/>
  <c r="E26" i="37"/>
  <c r="E25" i="37"/>
  <c r="E24" i="37"/>
  <c r="E23" i="37"/>
  <c r="E22" i="37"/>
  <c r="E21" i="37"/>
  <c r="E20" i="37"/>
  <c r="E19" i="37"/>
  <c r="E18" i="37"/>
  <c r="E17" i="37"/>
  <c r="E16" i="37"/>
  <c r="E15" i="37"/>
  <c r="E14" i="37"/>
  <c r="E13" i="37"/>
  <c r="E12" i="37"/>
  <c r="E11" i="37"/>
  <c r="E10" i="37"/>
  <c r="E9" i="37"/>
  <c r="E8" i="37"/>
  <c r="E7" i="37"/>
  <c r="B3" i="37"/>
  <c r="C13" i="26"/>
  <c r="C12" i="26"/>
  <c r="E8" i="26"/>
  <c r="E7" i="26"/>
  <c r="E6" i="26"/>
  <c r="E5" i="26"/>
  <c r="B3" i="26"/>
  <c r="E57" i="33"/>
  <c r="E56" i="33"/>
  <c r="E55" i="33"/>
  <c r="E54" i="33"/>
  <c r="E53" i="33"/>
  <c r="E52" i="33"/>
  <c r="E51" i="33"/>
  <c r="E50" i="33"/>
  <c r="E49" i="33"/>
  <c r="E48" i="33"/>
  <c r="E47" i="33"/>
  <c r="E46" i="33"/>
  <c r="E45" i="33"/>
  <c r="E44" i="33"/>
  <c r="E43" i="33"/>
  <c r="E42" i="33"/>
  <c r="E41" i="33"/>
  <c r="E40" i="33"/>
  <c r="E39" i="33"/>
  <c r="E38" i="33"/>
  <c r="E37" i="33"/>
  <c r="E36" i="33"/>
  <c r="E35" i="33"/>
  <c r="E34" i="33"/>
  <c r="E33" i="33"/>
  <c r="E32" i="33"/>
  <c r="E31" i="33"/>
  <c r="E30" i="33"/>
  <c r="E29" i="33"/>
  <c r="E28" i="33"/>
  <c r="E27" i="33"/>
  <c r="E26" i="33"/>
  <c r="E25" i="33"/>
  <c r="E24" i="33"/>
  <c r="E23" i="33"/>
  <c r="E22" i="33"/>
  <c r="E21" i="33"/>
  <c r="E20" i="33"/>
  <c r="E19" i="33"/>
  <c r="E18" i="33"/>
  <c r="E17" i="33"/>
  <c r="E16" i="33"/>
  <c r="E15" i="33"/>
  <c r="E14" i="33"/>
  <c r="E13" i="33"/>
  <c r="E12" i="33"/>
  <c r="G8" i="33"/>
  <c r="G7" i="33"/>
  <c r="G6" i="33"/>
  <c r="G5" i="33"/>
  <c r="B3" i="33"/>
  <c r="C13" i="35"/>
  <c r="C12" i="35"/>
  <c r="E8" i="35"/>
  <c r="E7" i="35"/>
  <c r="E6" i="35"/>
  <c r="E5" i="35"/>
  <c r="B3" i="35"/>
  <c r="E57" i="32"/>
  <c r="E56" i="32"/>
  <c r="E55" i="32"/>
  <c r="E54" i="32"/>
  <c r="E53" i="32"/>
  <c r="E52" i="32"/>
  <c r="E51" i="32"/>
  <c r="E50" i="32"/>
  <c r="E49" i="32"/>
  <c r="E48" i="32"/>
  <c r="E47" i="32"/>
  <c r="E46" i="32"/>
  <c r="E45" i="32"/>
  <c r="E44" i="32"/>
  <c r="E43" i="32"/>
  <c r="E42" i="32"/>
  <c r="E41" i="32"/>
  <c r="E40" i="32"/>
  <c r="E39" i="32"/>
  <c r="E38" i="32"/>
  <c r="E37" i="32"/>
  <c r="E36" i="32"/>
  <c r="E35" i="32"/>
  <c r="E34" i="32"/>
  <c r="E33" i="32"/>
  <c r="E32" i="32"/>
  <c r="E31" i="32"/>
  <c r="E30" i="32"/>
  <c r="E29" i="32"/>
  <c r="E28" i="32"/>
  <c r="E27" i="32"/>
  <c r="E26" i="32"/>
  <c r="E25" i="32"/>
  <c r="E24" i="32"/>
  <c r="E23" i="32"/>
  <c r="E22" i="32"/>
  <c r="E21" i="32"/>
  <c r="E20" i="32"/>
  <c r="E19" i="32"/>
  <c r="E18" i="32"/>
  <c r="E17" i="32"/>
  <c r="E16" i="32"/>
  <c r="E15" i="32"/>
  <c r="E14" i="32"/>
  <c r="E13" i="32"/>
  <c r="E12" i="32"/>
  <c r="G8" i="32"/>
  <c r="G7" i="32"/>
  <c r="G6" i="32"/>
  <c r="G5" i="32"/>
  <c r="B3" i="32"/>
  <c r="C13" i="34"/>
  <c r="C12" i="34"/>
  <c r="E8" i="34"/>
  <c r="E7" i="34"/>
  <c r="E6" i="34"/>
  <c r="E5" i="34"/>
  <c r="B3" i="34"/>
  <c r="L1" i="3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G8" i="4"/>
  <c r="G7" i="4"/>
  <c r="G6" i="4"/>
  <c r="G5" i="4"/>
  <c r="B3" i="4"/>
  <c r="G23" i="31"/>
  <c r="F23" i="31"/>
  <c r="G19" i="31"/>
  <c r="G18" i="31"/>
  <c r="G17" i="31"/>
  <c r="G16" i="31"/>
  <c r="F12" i="31"/>
  <c r="D7" i="31"/>
  <c r="D6" i="31"/>
  <c r="C4" i="31"/>
  <c r="M3" i="31"/>
  <c r="G23" i="30"/>
  <c r="F23" i="30"/>
  <c r="G19" i="30"/>
  <c r="G18" i="30"/>
  <c r="G17" i="30"/>
  <c r="G16" i="30"/>
  <c r="F12" i="30"/>
  <c r="D7" i="30"/>
  <c r="D6" i="30"/>
  <c r="C4" i="30"/>
  <c r="M3" i="30"/>
  <c r="G31" i="20"/>
  <c r="F31" i="20"/>
  <c r="C29" i="20"/>
  <c r="G26" i="20"/>
  <c r="F26" i="20"/>
  <c r="C24" i="20"/>
  <c r="H21" i="20"/>
  <c r="G21" i="20"/>
  <c r="H20" i="20"/>
  <c r="G20" i="20"/>
  <c r="H19" i="20"/>
  <c r="G19" i="20"/>
  <c r="H18" i="20"/>
  <c r="G18" i="20"/>
  <c r="H17" i="20"/>
  <c r="G17" i="20"/>
  <c r="H13" i="20"/>
  <c r="G13" i="20"/>
  <c r="H12" i="20"/>
  <c r="G12" i="20"/>
  <c r="D7" i="20"/>
  <c r="D6" i="20"/>
  <c r="C4" i="20"/>
  <c r="M3" i="20"/>
  <c r="B3" i="29"/>
  <c r="B3" i="3"/>
  <c r="I29" i="38"/>
  <c r="I30" i="38" s="1"/>
  <c r="B3" i="38"/>
  <c r="I29" i="10"/>
  <c r="I30" i="10" s="1"/>
  <c r="B3" i="10"/>
  <c r="B3" i="11"/>
  <c r="G10" i="28" l="1"/>
  <c r="G11" i="28" s="1"/>
  <c r="G8" i="25"/>
  <c r="G8" i="6"/>
  <c r="G10" i="6"/>
  <c r="G11" i="6" s="1"/>
  <c r="F13" i="30"/>
  <c r="G14" i="20"/>
  <c r="G8" i="28"/>
  <c r="F13" i="31"/>
  <c r="H14" i="20"/>
  <c r="G17" i="27"/>
  <c r="G17" i="28"/>
  <c r="G17" i="25"/>
  <c r="G10" i="25"/>
  <c r="G11" i="25" s="1"/>
  <c r="J21" i="27" l="1"/>
  <c r="L21" i="27"/>
  <c r="K22" i="27"/>
  <c r="I22" i="27"/>
  <c r="K21" i="27"/>
  <c r="J22" i="27"/>
  <c r="L22" i="27"/>
  <c r="I21" i="27"/>
  <c r="J21" i="25"/>
  <c r="L21" i="25"/>
  <c r="K22" i="25"/>
  <c r="I22" i="25"/>
  <c r="K21" i="25"/>
  <c r="J22" i="25"/>
  <c r="L22" i="25"/>
  <c r="I21" i="25"/>
  <c r="N66" i="28"/>
  <c r="L66" i="28"/>
  <c r="M65" i="28"/>
  <c r="K65" i="28"/>
  <c r="N64" i="28"/>
  <c r="L64" i="28"/>
  <c r="M63" i="28"/>
  <c r="K63" i="28"/>
  <c r="N62" i="28"/>
  <c r="L62" i="28"/>
  <c r="M61" i="28"/>
  <c r="K61" i="28"/>
  <c r="N60" i="28"/>
  <c r="L60" i="28"/>
  <c r="M59" i="28"/>
  <c r="K59" i="28"/>
  <c r="N58" i="28"/>
  <c r="L58" i="28"/>
  <c r="M66" i="28"/>
  <c r="K66" i="28"/>
  <c r="N65" i="28"/>
  <c r="L65" i="28"/>
  <c r="M64" i="28"/>
  <c r="K64" i="28"/>
  <c r="N63" i="28"/>
  <c r="L63" i="28"/>
  <c r="M62" i="28"/>
  <c r="K62" i="28"/>
  <c r="N61" i="28"/>
  <c r="L61" i="28"/>
  <c r="M60" i="28"/>
  <c r="K60" i="28"/>
  <c r="N59" i="28"/>
  <c r="L59" i="28"/>
  <c r="M58" i="28"/>
  <c r="K58" i="28"/>
  <c r="N57" i="28"/>
  <c r="L57" i="28"/>
  <c r="M56" i="28"/>
  <c r="M57" i="28"/>
  <c r="L56" i="28"/>
  <c r="M55" i="28"/>
  <c r="K55" i="28"/>
  <c r="N54" i="28"/>
  <c r="L54" i="28"/>
  <c r="M53" i="28"/>
  <c r="K53" i="28"/>
  <c r="N52" i="28"/>
  <c r="L52" i="28"/>
  <c r="M51" i="28"/>
  <c r="K51" i="28"/>
  <c r="N50" i="28"/>
  <c r="L50" i="28"/>
  <c r="M49" i="28"/>
  <c r="K49" i="28"/>
  <c r="N48" i="28"/>
  <c r="L48" i="28"/>
  <c r="M47" i="28"/>
  <c r="K47" i="28"/>
  <c r="N46" i="28"/>
  <c r="L46" i="28"/>
  <c r="M45" i="28"/>
  <c r="K45" i="28"/>
  <c r="N44" i="28"/>
  <c r="L44" i="28"/>
  <c r="M43" i="28"/>
  <c r="K43" i="28"/>
  <c r="N42" i="28"/>
  <c r="L42" i="28"/>
  <c r="M41" i="28"/>
  <c r="K41" i="28"/>
  <c r="N40" i="28"/>
  <c r="L40" i="28"/>
  <c r="M39" i="28"/>
  <c r="K39" i="28"/>
  <c r="N38" i="28"/>
  <c r="L38" i="28"/>
  <c r="M37" i="28"/>
  <c r="K37" i="28"/>
  <c r="N36" i="28"/>
  <c r="L36" i="28"/>
  <c r="K57" i="28"/>
  <c r="N56" i="28"/>
  <c r="K56" i="28"/>
  <c r="N55" i="28"/>
  <c r="L55" i="28"/>
  <c r="M54" i="28"/>
  <c r="K54" i="28"/>
  <c r="N53" i="28"/>
  <c r="L53" i="28"/>
  <c r="M52" i="28"/>
  <c r="K52" i="28"/>
  <c r="N51" i="28"/>
  <c r="L51" i="28"/>
  <c r="M50" i="28"/>
  <c r="K50" i="28"/>
  <c r="N49" i="28"/>
  <c r="L49" i="28"/>
  <c r="M48" i="28"/>
  <c r="K48" i="28"/>
  <c r="N47" i="28"/>
  <c r="L47" i="28"/>
  <c r="M46" i="28"/>
  <c r="K46" i="28"/>
  <c r="N45" i="28"/>
  <c r="L45" i="28"/>
  <c r="M44" i="28"/>
  <c r="K44" i="28"/>
  <c r="N43" i="28"/>
  <c r="L43" i="28"/>
  <c r="M42" i="28"/>
  <c r="K42" i="28"/>
  <c r="N41" i="28"/>
  <c r="L41" i="28"/>
  <c r="M40" i="28"/>
  <c r="K40" i="28"/>
  <c r="N39" i="28"/>
  <c r="L39" i="28"/>
  <c r="K38" i="28"/>
  <c r="N37" i="28"/>
  <c r="K36" i="28"/>
  <c r="M35" i="28"/>
  <c r="K35" i="28"/>
  <c r="N34" i="28"/>
  <c r="L34" i="28"/>
  <c r="M33" i="28"/>
  <c r="K33" i="28"/>
  <c r="N32" i="28"/>
  <c r="L32" i="28"/>
  <c r="M31" i="28"/>
  <c r="K31" i="28"/>
  <c r="N30" i="28"/>
  <c r="L30" i="28"/>
  <c r="M29" i="28"/>
  <c r="K29" i="28"/>
  <c r="N28" i="28"/>
  <c r="L28" i="28"/>
  <c r="M27" i="28"/>
  <c r="K27" i="28"/>
  <c r="N26" i="28"/>
  <c r="L26" i="28"/>
  <c r="M25" i="28"/>
  <c r="K25" i="28"/>
  <c r="N24" i="28"/>
  <c r="L24" i="28"/>
  <c r="M23" i="28"/>
  <c r="K23" i="28"/>
  <c r="N22" i="28"/>
  <c r="L22" i="28"/>
  <c r="M21" i="28"/>
  <c r="K21" i="28"/>
  <c r="M38" i="28"/>
  <c r="L37" i="28"/>
  <c r="M36" i="28"/>
  <c r="N35" i="28"/>
  <c r="L35" i="28"/>
  <c r="M34" i="28"/>
  <c r="K34" i="28"/>
  <c r="N33" i="28"/>
  <c r="L33" i="28"/>
  <c r="M32" i="28"/>
  <c r="K32" i="28"/>
  <c r="N31" i="28"/>
  <c r="L31" i="28"/>
  <c r="M30" i="28"/>
  <c r="K30" i="28"/>
  <c r="N29" i="28"/>
  <c r="L29" i="28"/>
  <c r="M28" i="28"/>
  <c r="K28" i="28"/>
  <c r="N27" i="28"/>
  <c r="L27" i="28"/>
  <c r="M26" i="28"/>
  <c r="K26" i="28"/>
  <c r="N25" i="28"/>
  <c r="L25" i="28"/>
  <c r="M24" i="28"/>
  <c r="K24" i="28"/>
  <c r="N23" i="28"/>
  <c r="L23" i="28"/>
  <c r="M22" i="28"/>
  <c r="K22" i="28"/>
  <c r="N21" i="28"/>
  <c r="L21" i="28"/>
  <c r="N66" i="6"/>
  <c r="L66" i="6"/>
  <c r="M65" i="6"/>
  <c r="K65" i="6"/>
  <c r="N64" i="6"/>
  <c r="L64" i="6"/>
  <c r="M63" i="6"/>
  <c r="K63" i="6"/>
  <c r="N62" i="6"/>
  <c r="L62" i="6"/>
  <c r="M61" i="6"/>
  <c r="K61" i="6"/>
  <c r="N60" i="6"/>
  <c r="L60" i="6"/>
  <c r="M59" i="6"/>
  <c r="K59" i="6"/>
  <c r="N58" i="6"/>
  <c r="L58" i="6"/>
  <c r="M66" i="6"/>
  <c r="K66" i="6"/>
  <c r="N65" i="6"/>
  <c r="L65" i="6"/>
  <c r="M64" i="6"/>
  <c r="K64" i="6"/>
  <c r="N63" i="6"/>
  <c r="L63" i="6"/>
  <c r="M62" i="6"/>
  <c r="K62" i="6"/>
  <c r="N61" i="6"/>
  <c r="L61" i="6"/>
  <c r="M60" i="6"/>
  <c r="K60" i="6"/>
  <c r="N59" i="6"/>
  <c r="L59" i="6"/>
  <c r="M58" i="6"/>
  <c r="K58" i="6"/>
  <c r="N57" i="6"/>
  <c r="L57" i="6"/>
  <c r="M56" i="6"/>
  <c r="K56" i="6"/>
  <c r="N55" i="6"/>
  <c r="L55" i="6"/>
  <c r="M54" i="6"/>
  <c r="K54" i="6"/>
  <c r="N53" i="6"/>
  <c r="L53" i="6"/>
  <c r="M52" i="6"/>
  <c r="K52" i="6"/>
  <c r="M57" i="6"/>
  <c r="L56" i="6"/>
  <c r="M55" i="6"/>
  <c r="L54" i="6"/>
  <c r="M53" i="6"/>
  <c r="L52" i="6"/>
  <c r="M51" i="6"/>
  <c r="K51" i="6"/>
  <c r="N50" i="6"/>
  <c r="L50" i="6"/>
  <c r="M49" i="6"/>
  <c r="K49" i="6"/>
  <c r="N48" i="6"/>
  <c r="L48" i="6"/>
  <c r="M47" i="6"/>
  <c r="K47" i="6"/>
  <c r="N46" i="6"/>
  <c r="L46" i="6"/>
  <c r="M45" i="6"/>
  <c r="K45" i="6"/>
  <c r="N44" i="6"/>
  <c r="L44" i="6"/>
  <c r="M43" i="6"/>
  <c r="K43" i="6"/>
  <c r="N42" i="6"/>
  <c r="L42" i="6"/>
  <c r="M41" i="6"/>
  <c r="K41" i="6"/>
  <c r="N40" i="6"/>
  <c r="L40" i="6"/>
  <c r="M39" i="6"/>
  <c r="K39" i="6"/>
  <c r="N38" i="6"/>
  <c r="L38" i="6"/>
  <c r="M37" i="6"/>
  <c r="K37" i="6"/>
  <c r="N36" i="6"/>
  <c r="L36" i="6"/>
  <c r="M35" i="6"/>
  <c r="K35" i="6"/>
  <c r="N34" i="6"/>
  <c r="L34" i="6"/>
  <c r="M33" i="6"/>
  <c r="K33" i="6"/>
  <c r="N32" i="6"/>
  <c r="L32" i="6"/>
  <c r="M31" i="6"/>
  <c r="K31" i="6"/>
  <c r="N30" i="6"/>
  <c r="L30" i="6"/>
  <c r="M29" i="6"/>
  <c r="K29" i="6"/>
  <c r="N28" i="6"/>
  <c r="L28" i="6"/>
  <c r="M27" i="6"/>
  <c r="K27" i="6"/>
  <c r="N26" i="6"/>
  <c r="L26" i="6"/>
  <c r="M25" i="6"/>
  <c r="K25" i="6"/>
  <c r="N24" i="6"/>
  <c r="L24" i="6"/>
  <c r="M23" i="6"/>
  <c r="K23" i="6"/>
  <c r="N22" i="6"/>
  <c r="L22" i="6"/>
  <c r="M21" i="6"/>
  <c r="K21" i="6"/>
  <c r="K57" i="6"/>
  <c r="N56" i="6"/>
  <c r="K55" i="6"/>
  <c r="N54" i="6"/>
  <c r="K53" i="6"/>
  <c r="N52" i="6"/>
  <c r="N51" i="6"/>
  <c r="L51" i="6"/>
  <c r="M50" i="6"/>
  <c r="K50" i="6"/>
  <c r="N49" i="6"/>
  <c r="L49" i="6"/>
  <c r="M48" i="6"/>
  <c r="K48" i="6"/>
  <c r="N47" i="6"/>
  <c r="L47" i="6"/>
  <c r="M46" i="6"/>
  <c r="K46" i="6"/>
  <c r="N45" i="6"/>
  <c r="L45" i="6"/>
  <c r="M44" i="6"/>
  <c r="K44" i="6"/>
  <c r="N43" i="6"/>
  <c r="L43" i="6"/>
  <c r="M42" i="6"/>
  <c r="K42" i="6"/>
  <c r="N41" i="6"/>
  <c r="L41" i="6"/>
  <c r="M40" i="6"/>
  <c r="K40" i="6"/>
  <c r="N39" i="6"/>
  <c r="L39" i="6"/>
  <c r="M38" i="6"/>
  <c r="K38" i="6"/>
  <c r="N37" i="6"/>
  <c r="L37" i="6"/>
  <c r="M36" i="6"/>
  <c r="K36" i="6"/>
  <c r="N35" i="6"/>
  <c r="L35" i="6"/>
  <c r="M34" i="6"/>
  <c r="K34" i="6"/>
  <c r="N33" i="6"/>
  <c r="L33" i="6"/>
  <c r="M32" i="6"/>
  <c r="K32" i="6"/>
  <c r="N31" i="6"/>
  <c r="L31" i="6"/>
  <c r="M30" i="6"/>
  <c r="K30" i="6"/>
  <c r="N29" i="6"/>
  <c r="L29" i="6"/>
  <c r="M28" i="6"/>
  <c r="K28" i="6"/>
  <c r="N27" i="6"/>
  <c r="L27" i="6"/>
  <c r="M26" i="6"/>
  <c r="K26" i="6"/>
  <c r="N25" i="6"/>
  <c r="L25" i="6"/>
  <c r="M24" i="6"/>
  <c r="K24" i="6"/>
  <c r="N23" i="6"/>
  <c r="L23" i="6"/>
  <c r="M22" i="6"/>
  <c r="K22" i="6"/>
  <c r="N21" i="6"/>
  <c r="L21" i="6"/>
  <c r="L74" i="6" l="1"/>
  <c r="L73" i="6"/>
  <c r="L72" i="6"/>
  <c r="L71" i="6"/>
  <c r="L70" i="6"/>
  <c r="L69" i="6"/>
  <c r="L68" i="6"/>
  <c r="L67" i="6"/>
  <c r="T21" i="6"/>
  <c r="G12" i="32"/>
  <c r="G38" i="30"/>
  <c r="T23" i="6"/>
  <c r="G14" i="32"/>
  <c r="G40" i="30"/>
  <c r="T25" i="6"/>
  <c r="G16" i="32"/>
  <c r="G42" i="30"/>
  <c r="T27" i="6"/>
  <c r="G18" i="32"/>
  <c r="G44" i="30"/>
  <c r="T29" i="6"/>
  <c r="G20" i="32"/>
  <c r="G46" i="30"/>
  <c r="T31" i="6"/>
  <c r="G22" i="32"/>
  <c r="G48" i="30"/>
  <c r="T33" i="6"/>
  <c r="G24" i="32"/>
  <c r="G50" i="30"/>
  <c r="T35" i="6"/>
  <c r="G26" i="32"/>
  <c r="G52" i="30"/>
  <c r="T37" i="6"/>
  <c r="G28" i="32"/>
  <c r="G54" i="30"/>
  <c r="N74" i="6"/>
  <c r="N73" i="6"/>
  <c r="N72" i="6"/>
  <c r="N71" i="6"/>
  <c r="N70" i="6"/>
  <c r="N69" i="6"/>
  <c r="N68" i="6"/>
  <c r="N67" i="6"/>
  <c r="V21" i="6"/>
  <c r="I12" i="32"/>
  <c r="I38" i="30"/>
  <c r="U22" i="6"/>
  <c r="H13" i="32"/>
  <c r="H39" i="30"/>
  <c r="V23" i="6"/>
  <c r="I14" i="32"/>
  <c r="I40" i="30"/>
  <c r="U24" i="6"/>
  <c r="H15" i="32"/>
  <c r="H41" i="30"/>
  <c r="V25" i="6"/>
  <c r="I16" i="32"/>
  <c r="I42" i="30"/>
  <c r="U26" i="6"/>
  <c r="H17" i="32"/>
  <c r="H43" i="30"/>
  <c r="V27" i="6"/>
  <c r="I18" i="32"/>
  <c r="I44" i="30"/>
  <c r="U28" i="6"/>
  <c r="H19" i="32"/>
  <c r="H45" i="30"/>
  <c r="V29" i="6"/>
  <c r="I20" i="32"/>
  <c r="I46" i="30"/>
  <c r="U30" i="6"/>
  <c r="H21" i="32"/>
  <c r="H47" i="30"/>
  <c r="V31" i="6"/>
  <c r="I22" i="32"/>
  <c r="I48" i="30"/>
  <c r="U32" i="6"/>
  <c r="H23" i="32"/>
  <c r="H49" i="30"/>
  <c r="V33" i="6"/>
  <c r="I24" i="32"/>
  <c r="I50" i="30"/>
  <c r="U34" i="6"/>
  <c r="H25" i="32"/>
  <c r="H51" i="30"/>
  <c r="V35" i="6"/>
  <c r="I26" i="32"/>
  <c r="I52" i="30"/>
  <c r="U36" i="6"/>
  <c r="H27" i="32"/>
  <c r="H53" i="30"/>
  <c r="V37" i="6"/>
  <c r="I28" i="32"/>
  <c r="I54" i="30"/>
  <c r="U38" i="6"/>
  <c r="H29" i="32"/>
  <c r="H55" i="30"/>
  <c r="V39" i="6"/>
  <c r="I30" i="32"/>
  <c r="I56" i="30"/>
  <c r="U40" i="6"/>
  <c r="H31" i="32"/>
  <c r="H57" i="30"/>
  <c r="V41" i="6"/>
  <c r="I32" i="32"/>
  <c r="I58" i="30"/>
  <c r="U42" i="6"/>
  <c r="H33" i="32"/>
  <c r="H59" i="30"/>
  <c r="V43" i="6"/>
  <c r="I34" i="32"/>
  <c r="I60" i="30"/>
  <c r="U44" i="6"/>
  <c r="H35" i="32"/>
  <c r="H61" i="30"/>
  <c r="V45" i="6"/>
  <c r="I36" i="32"/>
  <c r="I62" i="30"/>
  <c r="U46" i="6"/>
  <c r="H37" i="32"/>
  <c r="H63" i="30"/>
  <c r="V47" i="6"/>
  <c r="I38" i="32"/>
  <c r="I64" i="30"/>
  <c r="U48" i="6"/>
  <c r="H39" i="32"/>
  <c r="H65" i="30"/>
  <c r="V49" i="6"/>
  <c r="I40" i="32"/>
  <c r="I66" i="30"/>
  <c r="U50" i="6"/>
  <c r="H41" i="32"/>
  <c r="H67" i="30"/>
  <c r="V51" i="6"/>
  <c r="I42" i="32"/>
  <c r="I68" i="30"/>
  <c r="S53" i="6"/>
  <c r="F44" i="32"/>
  <c r="F70" i="30"/>
  <c r="S55" i="6"/>
  <c r="F46" i="32"/>
  <c r="F72" i="30"/>
  <c r="S57" i="6"/>
  <c r="F48" i="32"/>
  <c r="F74" i="30"/>
  <c r="M74" i="6"/>
  <c r="M73" i="6"/>
  <c r="M72" i="6"/>
  <c r="M71" i="6"/>
  <c r="M70" i="6"/>
  <c r="M69" i="6"/>
  <c r="M68" i="6"/>
  <c r="M67" i="6"/>
  <c r="U21" i="6"/>
  <c r="H12" i="32"/>
  <c r="H38" i="30"/>
  <c r="V22" i="6"/>
  <c r="I13" i="32"/>
  <c r="I39" i="30"/>
  <c r="U23" i="6"/>
  <c r="H14" i="32"/>
  <c r="H40" i="30"/>
  <c r="V24" i="6"/>
  <c r="I15" i="32"/>
  <c r="I41" i="30"/>
  <c r="U25" i="6"/>
  <c r="H16" i="32"/>
  <c r="H42" i="30"/>
  <c r="V26" i="6"/>
  <c r="I17" i="32"/>
  <c r="I43" i="30"/>
  <c r="U27" i="6"/>
  <c r="H18" i="32"/>
  <c r="H44" i="30"/>
  <c r="V28" i="6"/>
  <c r="I19" i="32"/>
  <c r="I45" i="30"/>
  <c r="U29" i="6"/>
  <c r="H20" i="32"/>
  <c r="H46" i="30"/>
  <c r="V30" i="6"/>
  <c r="I21" i="32"/>
  <c r="I47" i="30"/>
  <c r="U31" i="6"/>
  <c r="H22" i="32"/>
  <c r="H48" i="30"/>
  <c r="V32" i="6"/>
  <c r="I23" i="32"/>
  <c r="I49" i="30"/>
  <c r="U33" i="6"/>
  <c r="H24" i="32"/>
  <c r="H50" i="30"/>
  <c r="V34" i="6"/>
  <c r="I25" i="32"/>
  <c r="I51" i="30"/>
  <c r="U35" i="6"/>
  <c r="H26" i="32"/>
  <c r="H52" i="30"/>
  <c r="V36" i="6"/>
  <c r="I27" i="32"/>
  <c r="I53" i="30"/>
  <c r="U37" i="6"/>
  <c r="H28" i="32"/>
  <c r="H54" i="30"/>
  <c r="V38" i="6"/>
  <c r="I29" i="32"/>
  <c r="I55" i="30"/>
  <c r="U39" i="6"/>
  <c r="H30" i="32"/>
  <c r="H56" i="30"/>
  <c r="V40" i="6"/>
  <c r="I31" i="32"/>
  <c r="I57" i="30"/>
  <c r="U41" i="6"/>
  <c r="H32" i="32"/>
  <c r="H58" i="30"/>
  <c r="V42" i="6"/>
  <c r="I33" i="32"/>
  <c r="I59" i="30"/>
  <c r="U43" i="6"/>
  <c r="H34" i="32"/>
  <c r="H60" i="30"/>
  <c r="V44" i="6"/>
  <c r="I35" i="32"/>
  <c r="I61" i="30"/>
  <c r="U45" i="6"/>
  <c r="H36" i="32"/>
  <c r="H62" i="30"/>
  <c r="V46" i="6"/>
  <c r="I37" i="32"/>
  <c r="I63" i="30"/>
  <c r="U47" i="6"/>
  <c r="H38" i="32"/>
  <c r="H64" i="30"/>
  <c r="V48" i="6"/>
  <c r="I39" i="32"/>
  <c r="I65" i="30"/>
  <c r="U49" i="6"/>
  <c r="H40" i="32"/>
  <c r="H66" i="30"/>
  <c r="V50" i="6"/>
  <c r="I41" i="32"/>
  <c r="I67" i="30"/>
  <c r="U51" i="6"/>
  <c r="H42" i="32"/>
  <c r="H68" i="30"/>
  <c r="U53" i="6"/>
  <c r="H44" i="32"/>
  <c r="H70" i="30"/>
  <c r="U55" i="6"/>
  <c r="H46" i="32"/>
  <c r="H72" i="30"/>
  <c r="U57" i="6"/>
  <c r="H48" i="32"/>
  <c r="H74" i="30"/>
  <c r="U52" i="6"/>
  <c r="H43" i="32"/>
  <c r="H69" i="30"/>
  <c r="V53" i="6"/>
  <c r="I44" i="32"/>
  <c r="I70" i="30"/>
  <c r="U54" i="6"/>
  <c r="H45" i="32"/>
  <c r="H71" i="30"/>
  <c r="V55" i="6"/>
  <c r="I46" i="32"/>
  <c r="I72" i="30"/>
  <c r="U56" i="6"/>
  <c r="H47" i="32"/>
  <c r="H73" i="30"/>
  <c r="V57" i="6"/>
  <c r="I48" i="32"/>
  <c r="I74" i="30"/>
  <c r="U58" i="6"/>
  <c r="H49" i="32"/>
  <c r="H75" i="30"/>
  <c r="V59" i="6"/>
  <c r="I50" i="32"/>
  <c r="I76" i="30"/>
  <c r="U60" i="6"/>
  <c r="H51" i="32"/>
  <c r="H77" i="30"/>
  <c r="V61" i="6"/>
  <c r="I52" i="32"/>
  <c r="I78" i="30"/>
  <c r="U62" i="6"/>
  <c r="H53" i="32"/>
  <c r="H79" i="30"/>
  <c r="V63" i="6"/>
  <c r="I54" i="32"/>
  <c r="I80" i="30"/>
  <c r="U64" i="6"/>
  <c r="H55" i="32"/>
  <c r="H81" i="30"/>
  <c r="V65" i="6"/>
  <c r="I56" i="32"/>
  <c r="I82" i="30"/>
  <c r="U66" i="6"/>
  <c r="H57" i="32"/>
  <c r="H83" i="30"/>
  <c r="T21" i="25"/>
  <c r="G12" i="35"/>
  <c r="I84" i="30"/>
  <c r="S22" i="25"/>
  <c r="F13" i="26"/>
  <c r="F13" i="35"/>
  <c r="H85" i="30"/>
  <c r="V58" i="6"/>
  <c r="I49" i="32"/>
  <c r="I75" i="30"/>
  <c r="U59" i="6"/>
  <c r="H50" i="32"/>
  <c r="H76" i="30"/>
  <c r="V60" i="6"/>
  <c r="I51" i="32"/>
  <c r="I77" i="30"/>
  <c r="U61" i="6"/>
  <c r="H52" i="32"/>
  <c r="H78" i="30"/>
  <c r="V62" i="6"/>
  <c r="I53" i="32"/>
  <c r="I79" i="30"/>
  <c r="U63" i="6"/>
  <c r="H54" i="32"/>
  <c r="H80" i="30"/>
  <c r="V64" i="6"/>
  <c r="I55" i="32"/>
  <c r="I81" i="30"/>
  <c r="U65" i="6"/>
  <c r="H56" i="32"/>
  <c r="H82" i="30"/>
  <c r="V66" i="6"/>
  <c r="I57" i="32"/>
  <c r="I83" i="30"/>
  <c r="S21" i="25"/>
  <c r="F12" i="35"/>
  <c r="H84" i="30"/>
  <c r="T22" i="25"/>
  <c r="G13" i="26"/>
  <c r="G13" i="35"/>
  <c r="I85" i="30"/>
  <c r="N74" i="28"/>
  <c r="N73" i="28"/>
  <c r="N72" i="28"/>
  <c r="N71" i="28"/>
  <c r="N70" i="28"/>
  <c r="N69" i="28"/>
  <c r="I58" i="33" s="1"/>
  <c r="N68" i="28"/>
  <c r="I60" i="33" s="1"/>
  <c r="N67" i="28"/>
  <c r="I59" i="33" s="1"/>
  <c r="V21" i="28"/>
  <c r="I12" i="33"/>
  <c r="I38" i="31"/>
  <c r="U22" i="28"/>
  <c r="H13" i="33"/>
  <c r="H39" i="31"/>
  <c r="V23" i="28"/>
  <c r="I14" i="33"/>
  <c r="I40" i="31"/>
  <c r="U24" i="28"/>
  <c r="H15" i="33"/>
  <c r="H41" i="31"/>
  <c r="V25" i="28"/>
  <c r="I16" i="33"/>
  <c r="I42" i="31"/>
  <c r="U26" i="28"/>
  <c r="H17" i="33"/>
  <c r="H43" i="31"/>
  <c r="V27" i="28"/>
  <c r="I18" i="33"/>
  <c r="I44" i="31"/>
  <c r="U28" i="28"/>
  <c r="H19" i="33"/>
  <c r="H45" i="31"/>
  <c r="V29" i="28"/>
  <c r="I20" i="33"/>
  <c r="I46" i="31"/>
  <c r="U30" i="28"/>
  <c r="H21" i="33"/>
  <c r="H47" i="31"/>
  <c r="V31" i="28"/>
  <c r="I22" i="33"/>
  <c r="I48" i="31"/>
  <c r="U32" i="28"/>
  <c r="H23" i="33"/>
  <c r="H49" i="31"/>
  <c r="V33" i="28"/>
  <c r="I24" i="33"/>
  <c r="I50" i="31"/>
  <c r="U34" i="28"/>
  <c r="H25" i="33"/>
  <c r="H51" i="31"/>
  <c r="V35" i="28"/>
  <c r="I26" i="33"/>
  <c r="I52" i="31"/>
  <c r="T37" i="28"/>
  <c r="G28" i="33"/>
  <c r="G54" i="31"/>
  <c r="K74" i="28"/>
  <c r="K73" i="28"/>
  <c r="K72" i="28"/>
  <c r="K71" i="28"/>
  <c r="K70" i="28"/>
  <c r="K69" i="28"/>
  <c r="F58" i="33" s="1"/>
  <c r="K68" i="28"/>
  <c r="F60" i="33" s="1"/>
  <c r="K67" i="28"/>
  <c r="F59" i="33" s="1"/>
  <c r="S21" i="28"/>
  <c r="F12" i="33"/>
  <c r="F38" i="31"/>
  <c r="T22" i="28"/>
  <c r="G13" i="33"/>
  <c r="G39" i="31"/>
  <c r="S23" i="28"/>
  <c r="F14" i="33"/>
  <c r="F40" i="31"/>
  <c r="T24" i="28"/>
  <c r="G15" i="33"/>
  <c r="G41" i="31"/>
  <c r="S25" i="28"/>
  <c r="F16" i="33"/>
  <c r="F42" i="31"/>
  <c r="T26" i="28"/>
  <c r="G17" i="33"/>
  <c r="G43" i="31"/>
  <c r="S27" i="28"/>
  <c r="F18" i="33"/>
  <c r="F44" i="31"/>
  <c r="T28" i="28"/>
  <c r="G19" i="33"/>
  <c r="G45" i="31"/>
  <c r="S29" i="28"/>
  <c r="F20" i="33"/>
  <c r="F46" i="31"/>
  <c r="T30" i="28"/>
  <c r="G21" i="33"/>
  <c r="G47" i="31"/>
  <c r="S31" i="28"/>
  <c r="F22" i="33"/>
  <c r="F48" i="31"/>
  <c r="T32" i="28"/>
  <c r="G23" i="33"/>
  <c r="G49" i="31"/>
  <c r="S33" i="28"/>
  <c r="F24" i="33"/>
  <c r="F50" i="31"/>
  <c r="T34" i="28"/>
  <c r="G25" i="33"/>
  <c r="G51" i="31"/>
  <c r="S35" i="28"/>
  <c r="F26" i="33"/>
  <c r="F52" i="31"/>
  <c r="S36" i="28"/>
  <c r="F27" i="33"/>
  <c r="F53" i="31"/>
  <c r="S38" i="28"/>
  <c r="F29" i="33"/>
  <c r="F55" i="31"/>
  <c r="V39" i="28"/>
  <c r="I30" i="33"/>
  <c r="I56" i="31"/>
  <c r="U40" i="28"/>
  <c r="H31" i="33"/>
  <c r="H57" i="31"/>
  <c r="V41" i="28"/>
  <c r="I32" i="33"/>
  <c r="I58" i="31"/>
  <c r="U42" i="28"/>
  <c r="H33" i="33"/>
  <c r="H59" i="31"/>
  <c r="V43" i="28"/>
  <c r="I34" i="33"/>
  <c r="I60" i="31"/>
  <c r="U44" i="28"/>
  <c r="H35" i="33"/>
  <c r="H61" i="31"/>
  <c r="V45" i="28"/>
  <c r="I36" i="33"/>
  <c r="I62" i="31"/>
  <c r="U46" i="28"/>
  <c r="H37" i="33"/>
  <c r="H63" i="31"/>
  <c r="V47" i="28"/>
  <c r="I38" i="33"/>
  <c r="I64" i="31"/>
  <c r="U48" i="28"/>
  <c r="H39" i="33"/>
  <c r="H65" i="31"/>
  <c r="V49" i="28"/>
  <c r="I40" i="33"/>
  <c r="I66" i="31"/>
  <c r="U50" i="28"/>
  <c r="H41" i="33"/>
  <c r="H67" i="31"/>
  <c r="V51" i="28"/>
  <c r="I42" i="33"/>
  <c r="I68" i="31"/>
  <c r="U52" i="28"/>
  <c r="H43" i="33"/>
  <c r="H69" i="31"/>
  <c r="V53" i="28"/>
  <c r="I44" i="33"/>
  <c r="I70" i="31"/>
  <c r="U54" i="28"/>
  <c r="H45" i="33"/>
  <c r="H71" i="31"/>
  <c r="V55" i="28"/>
  <c r="I46" i="33"/>
  <c r="I72" i="31"/>
  <c r="V56" i="28"/>
  <c r="I47" i="33"/>
  <c r="I73" i="31"/>
  <c r="T36" i="28"/>
  <c r="G27" i="33"/>
  <c r="G53" i="31"/>
  <c r="S37" i="28"/>
  <c r="F28" i="33"/>
  <c r="F54" i="31"/>
  <c r="T38" i="28"/>
  <c r="G29" i="33"/>
  <c r="G55" i="31"/>
  <c r="S39" i="28"/>
  <c r="F30" i="33"/>
  <c r="F56" i="31"/>
  <c r="T40" i="28"/>
  <c r="G31" i="33"/>
  <c r="G57" i="31"/>
  <c r="S41" i="28"/>
  <c r="F32" i="33"/>
  <c r="F58" i="31"/>
  <c r="T42" i="28"/>
  <c r="G33" i="33"/>
  <c r="G59" i="31"/>
  <c r="S43" i="28"/>
  <c r="F34" i="33"/>
  <c r="F60" i="31"/>
  <c r="T44" i="28"/>
  <c r="G35" i="33"/>
  <c r="G61" i="31"/>
  <c r="S45" i="28"/>
  <c r="F36" i="33"/>
  <c r="F62" i="31"/>
  <c r="T46" i="28"/>
  <c r="G37" i="33"/>
  <c r="G63" i="31"/>
  <c r="S47" i="28"/>
  <c r="F38" i="33"/>
  <c r="F64" i="31"/>
  <c r="T48" i="28"/>
  <c r="G39" i="33"/>
  <c r="G65" i="31"/>
  <c r="S49" i="28"/>
  <c r="F40" i="33"/>
  <c r="F66" i="31"/>
  <c r="T50" i="28"/>
  <c r="G41" i="33"/>
  <c r="G67" i="31"/>
  <c r="S51" i="28"/>
  <c r="F42" i="33"/>
  <c r="F68" i="31"/>
  <c r="T52" i="28"/>
  <c r="G43" i="33"/>
  <c r="G69" i="31"/>
  <c r="S53" i="28"/>
  <c r="F44" i="33"/>
  <c r="F70" i="31"/>
  <c r="T54" i="28"/>
  <c r="G45" i="33"/>
  <c r="G71" i="31"/>
  <c r="S55" i="28"/>
  <c r="F46" i="33"/>
  <c r="F72" i="31"/>
  <c r="T56" i="28"/>
  <c r="G47" i="33"/>
  <c r="G73" i="31"/>
  <c r="U56" i="28"/>
  <c r="H47" i="33"/>
  <c r="H73" i="31"/>
  <c r="V57" i="28"/>
  <c r="I48" i="33"/>
  <c r="I74" i="31"/>
  <c r="U58" i="28"/>
  <c r="H49" i="33"/>
  <c r="H75" i="31"/>
  <c r="V59" i="28"/>
  <c r="I50" i="33"/>
  <c r="I76" i="31"/>
  <c r="U60" i="28"/>
  <c r="H51" i="33"/>
  <c r="H77" i="31"/>
  <c r="V61" i="28"/>
  <c r="I52" i="33"/>
  <c r="I78" i="31"/>
  <c r="U62" i="28"/>
  <c r="H53" i="33"/>
  <c r="H79" i="31"/>
  <c r="V63" i="28"/>
  <c r="I54" i="33"/>
  <c r="I80" i="31"/>
  <c r="U64" i="28"/>
  <c r="H55" i="33"/>
  <c r="H81" i="31"/>
  <c r="V65" i="28"/>
  <c r="I56" i="33"/>
  <c r="I82" i="31"/>
  <c r="U66" i="28"/>
  <c r="H57" i="33"/>
  <c r="H83" i="31"/>
  <c r="T21" i="27"/>
  <c r="G12" i="26"/>
  <c r="I84" i="31"/>
  <c r="S22" i="27"/>
  <c r="H85" i="31"/>
  <c r="V58" i="28"/>
  <c r="I49" i="33"/>
  <c r="I75" i="31"/>
  <c r="U59" i="28"/>
  <c r="H50" i="33"/>
  <c r="H76" i="31"/>
  <c r="V60" i="28"/>
  <c r="I51" i="33"/>
  <c r="I77" i="31"/>
  <c r="U61" i="28"/>
  <c r="H52" i="33"/>
  <c r="H78" i="31"/>
  <c r="V62" i="28"/>
  <c r="I53" i="33"/>
  <c r="I79" i="31"/>
  <c r="U63" i="28"/>
  <c r="H54" i="33"/>
  <c r="H80" i="31"/>
  <c r="V64" i="28"/>
  <c r="I55" i="33"/>
  <c r="I81" i="31"/>
  <c r="U65" i="28"/>
  <c r="H56" i="33"/>
  <c r="H82" i="31"/>
  <c r="V66" i="28"/>
  <c r="I57" i="33"/>
  <c r="I83" i="31"/>
  <c r="Q21" i="27"/>
  <c r="D12" i="26"/>
  <c r="F84" i="31"/>
  <c r="R22" i="27"/>
  <c r="G85" i="31"/>
  <c r="S22" i="6"/>
  <c r="F13" i="32"/>
  <c r="F39" i="30"/>
  <c r="S24" i="6"/>
  <c r="F15" i="32"/>
  <c r="F41" i="30"/>
  <c r="S26" i="6"/>
  <c r="F17" i="32"/>
  <c r="F43" i="30"/>
  <c r="S28" i="6"/>
  <c r="F19" i="32"/>
  <c r="F45" i="30"/>
  <c r="S30" i="6"/>
  <c r="F21" i="32"/>
  <c r="F47" i="30"/>
  <c r="S32" i="6"/>
  <c r="F23" i="32"/>
  <c r="F49" i="30"/>
  <c r="S34" i="6"/>
  <c r="F25" i="32"/>
  <c r="F51" i="30"/>
  <c r="S36" i="6"/>
  <c r="F27" i="32"/>
  <c r="F53" i="30"/>
  <c r="S38" i="6"/>
  <c r="F29" i="32"/>
  <c r="F55" i="30"/>
  <c r="T39" i="6"/>
  <c r="G30" i="32"/>
  <c r="G56" i="30"/>
  <c r="S40" i="6"/>
  <c r="F31" i="32"/>
  <c r="F57" i="30"/>
  <c r="T41" i="6"/>
  <c r="G32" i="32"/>
  <c r="G58" i="30"/>
  <c r="S42" i="6"/>
  <c r="F33" i="32"/>
  <c r="F59" i="30"/>
  <c r="T43" i="6"/>
  <c r="G34" i="32"/>
  <c r="G60" i="30"/>
  <c r="S44" i="6"/>
  <c r="F35" i="32"/>
  <c r="F61" i="30"/>
  <c r="T45" i="6"/>
  <c r="G36" i="32"/>
  <c r="G62" i="30"/>
  <c r="S46" i="6"/>
  <c r="F37" i="32"/>
  <c r="F63" i="30"/>
  <c r="T47" i="6"/>
  <c r="G38" i="32"/>
  <c r="G64" i="30"/>
  <c r="S48" i="6"/>
  <c r="F39" i="32"/>
  <c r="F65" i="30"/>
  <c r="T49" i="6"/>
  <c r="G40" i="32"/>
  <c r="G66" i="30"/>
  <c r="S50" i="6"/>
  <c r="F41" i="32"/>
  <c r="F67" i="30"/>
  <c r="T51" i="6"/>
  <c r="G42" i="32"/>
  <c r="G68" i="30"/>
  <c r="V52" i="6"/>
  <c r="I43" i="32"/>
  <c r="I69" i="30"/>
  <c r="V54" i="6"/>
  <c r="I45" i="32"/>
  <c r="I71" i="30"/>
  <c r="V56" i="6"/>
  <c r="I47" i="32"/>
  <c r="I73" i="30"/>
  <c r="K74" i="6"/>
  <c r="K73" i="6"/>
  <c r="K72" i="6"/>
  <c r="K71" i="6"/>
  <c r="K70" i="6"/>
  <c r="K69" i="6"/>
  <c r="K68" i="6"/>
  <c r="K67" i="6"/>
  <c r="S21" i="6"/>
  <c r="F12" i="32"/>
  <c r="F38" i="30"/>
  <c r="T22" i="6"/>
  <c r="G13" i="32"/>
  <c r="G39" i="30"/>
  <c r="S23" i="6"/>
  <c r="F14" i="32"/>
  <c r="F40" i="30"/>
  <c r="T24" i="6"/>
  <c r="G15" i="32"/>
  <c r="G41" i="30"/>
  <c r="S25" i="6"/>
  <c r="F16" i="32"/>
  <c r="F42" i="30"/>
  <c r="T26" i="6"/>
  <c r="G17" i="32"/>
  <c r="G43" i="30"/>
  <c r="S27" i="6"/>
  <c r="F18" i="32"/>
  <c r="F44" i="30"/>
  <c r="T28" i="6"/>
  <c r="G19" i="32"/>
  <c r="G45" i="30"/>
  <c r="S29" i="6"/>
  <c r="F20" i="32"/>
  <c r="F46" i="30"/>
  <c r="T30" i="6"/>
  <c r="G21" i="32"/>
  <c r="G47" i="30"/>
  <c r="S31" i="6"/>
  <c r="F22" i="32"/>
  <c r="F48" i="30"/>
  <c r="T32" i="6"/>
  <c r="G23" i="32"/>
  <c r="G49" i="30"/>
  <c r="S33" i="6"/>
  <c r="F24" i="32"/>
  <c r="F50" i="30"/>
  <c r="T34" i="6"/>
  <c r="G25" i="32"/>
  <c r="G51" i="30"/>
  <c r="S35" i="6"/>
  <c r="F26" i="32"/>
  <c r="F52" i="30"/>
  <c r="T36" i="6"/>
  <c r="G27" i="32"/>
  <c r="G53" i="30"/>
  <c r="S37" i="6"/>
  <c r="F28" i="32"/>
  <c r="F54" i="30"/>
  <c r="T38" i="6"/>
  <c r="G29" i="32"/>
  <c r="G55" i="30"/>
  <c r="S39" i="6"/>
  <c r="F30" i="32"/>
  <c r="F56" i="30"/>
  <c r="T40" i="6"/>
  <c r="G31" i="32"/>
  <c r="G57" i="30"/>
  <c r="S41" i="6"/>
  <c r="F32" i="32"/>
  <c r="F58" i="30"/>
  <c r="T42" i="6"/>
  <c r="G33" i="32"/>
  <c r="G59" i="30"/>
  <c r="S43" i="6"/>
  <c r="F34" i="32"/>
  <c r="F60" i="30"/>
  <c r="T44" i="6"/>
  <c r="G35" i="32"/>
  <c r="G61" i="30"/>
  <c r="S45" i="6"/>
  <c r="F36" i="32"/>
  <c r="F62" i="30"/>
  <c r="T46" i="6"/>
  <c r="G37" i="32"/>
  <c r="G63" i="30"/>
  <c r="S47" i="6"/>
  <c r="F38" i="32"/>
  <c r="F64" i="30"/>
  <c r="T48" i="6"/>
  <c r="G39" i="32"/>
  <c r="G65" i="30"/>
  <c r="S49" i="6"/>
  <c r="F40" i="32"/>
  <c r="F66" i="30"/>
  <c r="T50" i="6"/>
  <c r="G41" i="32"/>
  <c r="G67" i="30"/>
  <c r="S51" i="6"/>
  <c r="F42" i="32"/>
  <c r="F68" i="30"/>
  <c r="T52" i="6"/>
  <c r="G43" i="32"/>
  <c r="G69" i="30"/>
  <c r="T54" i="6"/>
  <c r="G45" i="32"/>
  <c r="G71" i="30"/>
  <c r="T56" i="6"/>
  <c r="G47" i="32"/>
  <c r="G73" i="30"/>
  <c r="S52" i="6"/>
  <c r="F43" i="32"/>
  <c r="F69" i="30"/>
  <c r="T53" i="6"/>
  <c r="G44" i="32"/>
  <c r="G70" i="30"/>
  <c r="S54" i="6"/>
  <c r="F45" i="32"/>
  <c r="F71" i="30"/>
  <c r="T55" i="6"/>
  <c r="G46" i="32"/>
  <c r="G72" i="30"/>
  <c r="S56" i="6"/>
  <c r="F47" i="32"/>
  <c r="F73" i="30"/>
  <c r="T57" i="6"/>
  <c r="G48" i="32"/>
  <c r="G74" i="30"/>
  <c r="S58" i="6"/>
  <c r="F49" i="32"/>
  <c r="F75" i="30"/>
  <c r="T59" i="6"/>
  <c r="G50" i="32"/>
  <c r="G76" i="30"/>
  <c r="S60" i="6"/>
  <c r="F51" i="32"/>
  <c r="F77" i="30"/>
  <c r="T61" i="6"/>
  <c r="G52" i="32"/>
  <c r="G78" i="30"/>
  <c r="S62" i="6"/>
  <c r="F53" i="32"/>
  <c r="F79" i="30"/>
  <c r="T63" i="6"/>
  <c r="G54" i="32"/>
  <c r="G80" i="30"/>
  <c r="S64" i="6"/>
  <c r="F55" i="32"/>
  <c r="F81" i="30"/>
  <c r="T65" i="6"/>
  <c r="G56" i="32"/>
  <c r="G82" i="30"/>
  <c r="S66" i="6"/>
  <c r="F57" i="32"/>
  <c r="F83" i="30"/>
  <c r="R21" i="25"/>
  <c r="E12" i="35"/>
  <c r="G84" i="30"/>
  <c r="Q22" i="25"/>
  <c r="D13" i="26"/>
  <c r="D13" i="35"/>
  <c r="F85" i="30"/>
  <c r="T58" i="6"/>
  <c r="G49" i="32"/>
  <c r="G75" i="30"/>
  <c r="S59" i="6"/>
  <c r="F50" i="32"/>
  <c r="F76" i="30"/>
  <c r="T60" i="6"/>
  <c r="G51" i="32"/>
  <c r="G77" i="30"/>
  <c r="S61" i="6"/>
  <c r="F52" i="32"/>
  <c r="F78" i="30"/>
  <c r="T62" i="6"/>
  <c r="G53" i="32"/>
  <c r="G79" i="30"/>
  <c r="S63" i="6"/>
  <c r="F54" i="32"/>
  <c r="F80" i="30"/>
  <c r="T64" i="6"/>
  <c r="G55" i="32"/>
  <c r="G81" i="30"/>
  <c r="S65" i="6"/>
  <c r="F56" i="32"/>
  <c r="F82" i="30"/>
  <c r="T66" i="6"/>
  <c r="G57" i="32"/>
  <c r="G83" i="30"/>
  <c r="Q21" i="25"/>
  <c r="D12" i="35"/>
  <c r="F84" i="30"/>
  <c r="R22" i="25"/>
  <c r="E13" i="26"/>
  <c r="E13" i="35"/>
  <c r="G85" i="30"/>
  <c r="L74" i="28"/>
  <c r="L73" i="28"/>
  <c r="L72" i="28"/>
  <c r="L71" i="28"/>
  <c r="L70" i="28"/>
  <c r="L69" i="28"/>
  <c r="G58" i="33" s="1"/>
  <c r="L68" i="28"/>
  <c r="G60" i="33" s="1"/>
  <c r="L67" i="28"/>
  <c r="G59" i="33" s="1"/>
  <c r="T21" i="28"/>
  <c r="G12" i="33"/>
  <c r="G38" i="31"/>
  <c r="S22" i="28"/>
  <c r="F13" i="33"/>
  <c r="F39" i="31"/>
  <c r="T23" i="28"/>
  <c r="G14" i="33"/>
  <c r="G40" i="31"/>
  <c r="S24" i="28"/>
  <c r="F15" i="33"/>
  <c r="F41" i="31"/>
  <c r="T25" i="28"/>
  <c r="G16" i="33"/>
  <c r="G42" i="31"/>
  <c r="S26" i="28"/>
  <c r="F17" i="33"/>
  <c r="F43" i="31"/>
  <c r="T27" i="28"/>
  <c r="G18" i="33"/>
  <c r="G44" i="31"/>
  <c r="S28" i="28"/>
  <c r="F19" i="33"/>
  <c r="F45" i="31"/>
  <c r="T29" i="28"/>
  <c r="G20" i="33"/>
  <c r="G46" i="31"/>
  <c r="S30" i="28"/>
  <c r="F21" i="33"/>
  <c r="F47" i="31"/>
  <c r="T31" i="28"/>
  <c r="G22" i="33"/>
  <c r="G48" i="31"/>
  <c r="S32" i="28"/>
  <c r="F23" i="33"/>
  <c r="F49" i="31"/>
  <c r="T33" i="28"/>
  <c r="G24" i="33"/>
  <c r="G50" i="31"/>
  <c r="S34" i="28"/>
  <c r="F25" i="33"/>
  <c r="F51" i="31"/>
  <c r="T35" i="28"/>
  <c r="G26" i="33"/>
  <c r="G52" i="31"/>
  <c r="U36" i="28"/>
  <c r="H27" i="33"/>
  <c r="H53" i="31"/>
  <c r="U38" i="28"/>
  <c r="H29" i="33"/>
  <c r="H55" i="31"/>
  <c r="M74" i="28"/>
  <c r="M73" i="28"/>
  <c r="M72" i="28"/>
  <c r="M71" i="28"/>
  <c r="M70" i="28"/>
  <c r="M69" i="28"/>
  <c r="H58" i="33" s="1"/>
  <c r="M68" i="28"/>
  <c r="H60" i="33" s="1"/>
  <c r="M67" i="28"/>
  <c r="H59" i="33" s="1"/>
  <c r="U21" i="28"/>
  <c r="H12" i="33"/>
  <c r="H38" i="31"/>
  <c r="V22" i="28"/>
  <c r="I13" i="33"/>
  <c r="I39" i="31"/>
  <c r="U23" i="28"/>
  <c r="H14" i="33"/>
  <c r="H40" i="31"/>
  <c r="V24" i="28"/>
  <c r="I15" i="33"/>
  <c r="I41" i="31"/>
  <c r="U25" i="28"/>
  <c r="H16" i="33"/>
  <c r="H42" i="31"/>
  <c r="V26" i="28"/>
  <c r="I17" i="33"/>
  <c r="I43" i="31"/>
  <c r="U27" i="28"/>
  <c r="H18" i="33"/>
  <c r="H44" i="31"/>
  <c r="V28" i="28"/>
  <c r="I19" i="33"/>
  <c r="I45" i="31"/>
  <c r="U29" i="28"/>
  <c r="H20" i="33"/>
  <c r="H46" i="31"/>
  <c r="V30" i="28"/>
  <c r="I21" i="33"/>
  <c r="I47" i="31"/>
  <c r="U31" i="28"/>
  <c r="H22" i="33"/>
  <c r="H48" i="31"/>
  <c r="V32" i="28"/>
  <c r="I23" i="33"/>
  <c r="I49" i="31"/>
  <c r="U33" i="28"/>
  <c r="H24" i="33"/>
  <c r="H50" i="31"/>
  <c r="V34" i="28"/>
  <c r="I25" i="33"/>
  <c r="I51" i="31"/>
  <c r="U35" i="28"/>
  <c r="H26" i="33"/>
  <c r="H52" i="31"/>
  <c r="V37" i="28"/>
  <c r="I28" i="33"/>
  <c r="I54" i="31"/>
  <c r="T39" i="28"/>
  <c r="G30" i="33"/>
  <c r="G56" i="31"/>
  <c r="S40" i="28"/>
  <c r="F31" i="33"/>
  <c r="F57" i="31"/>
  <c r="T41" i="28"/>
  <c r="G32" i="33"/>
  <c r="G58" i="31"/>
  <c r="S42" i="28"/>
  <c r="F33" i="33"/>
  <c r="F59" i="31"/>
  <c r="T43" i="28"/>
  <c r="G34" i="33"/>
  <c r="G60" i="31"/>
  <c r="S44" i="28"/>
  <c r="F35" i="33"/>
  <c r="F61" i="31"/>
  <c r="T45" i="28"/>
  <c r="G36" i="33"/>
  <c r="G62" i="31"/>
  <c r="S46" i="28"/>
  <c r="F37" i="33"/>
  <c r="F63" i="31"/>
  <c r="T47" i="28"/>
  <c r="G38" i="33"/>
  <c r="G64" i="31"/>
  <c r="S48" i="28"/>
  <c r="F39" i="33"/>
  <c r="F65" i="31"/>
  <c r="T49" i="28"/>
  <c r="G40" i="33"/>
  <c r="G66" i="31"/>
  <c r="S50" i="28"/>
  <c r="F41" i="33"/>
  <c r="F67" i="31"/>
  <c r="T51" i="28"/>
  <c r="G42" i="33"/>
  <c r="G68" i="31"/>
  <c r="S52" i="28"/>
  <c r="F43" i="33"/>
  <c r="F69" i="31"/>
  <c r="T53" i="28"/>
  <c r="G44" i="33"/>
  <c r="G70" i="31"/>
  <c r="S54" i="28"/>
  <c r="F45" i="33"/>
  <c r="F71" i="31"/>
  <c r="T55" i="28"/>
  <c r="G46" i="33"/>
  <c r="G72" i="31"/>
  <c r="S56" i="28"/>
  <c r="F47" i="33"/>
  <c r="F73" i="31"/>
  <c r="S57" i="28"/>
  <c r="F48" i="33"/>
  <c r="F74" i="31"/>
  <c r="V36" i="28"/>
  <c r="I27" i="33"/>
  <c r="I53" i="31"/>
  <c r="U37" i="28"/>
  <c r="H28" i="33"/>
  <c r="H54" i="31"/>
  <c r="V38" i="28"/>
  <c r="I29" i="33"/>
  <c r="I55" i="31"/>
  <c r="U39" i="28"/>
  <c r="H30" i="33"/>
  <c r="H56" i="31"/>
  <c r="V40" i="28"/>
  <c r="I31" i="33"/>
  <c r="I57" i="31"/>
  <c r="U41" i="28"/>
  <c r="H32" i="33"/>
  <c r="H58" i="31"/>
  <c r="V42" i="28"/>
  <c r="I33" i="33"/>
  <c r="I59" i="31"/>
  <c r="U43" i="28"/>
  <c r="H34" i="33"/>
  <c r="H60" i="31"/>
  <c r="V44" i="28"/>
  <c r="I35" i="33"/>
  <c r="I61" i="31"/>
  <c r="U45" i="28"/>
  <c r="H36" i="33"/>
  <c r="H62" i="31"/>
  <c r="V46" i="28"/>
  <c r="I37" i="33"/>
  <c r="I63" i="31"/>
  <c r="U47" i="28"/>
  <c r="H38" i="33"/>
  <c r="H64" i="31"/>
  <c r="V48" i="28"/>
  <c r="I39" i="33"/>
  <c r="I65" i="31"/>
  <c r="U49" i="28"/>
  <c r="H40" i="33"/>
  <c r="H66" i="31"/>
  <c r="V50" i="28"/>
  <c r="I41" i="33"/>
  <c r="I67" i="31"/>
  <c r="U51" i="28"/>
  <c r="H42" i="33"/>
  <c r="H68" i="31"/>
  <c r="V52" i="28"/>
  <c r="I43" i="33"/>
  <c r="I69" i="31"/>
  <c r="U53" i="28"/>
  <c r="H44" i="33"/>
  <c r="H70" i="31"/>
  <c r="V54" i="28"/>
  <c r="I45" i="33"/>
  <c r="I71" i="31"/>
  <c r="U55" i="28"/>
  <c r="H46" i="33"/>
  <c r="H72" i="31"/>
  <c r="U57" i="28"/>
  <c r="H48" i="33"/>
  <c r="H74" i="31"/>
  <c r="T57" i="28"/>
  <c r="G48" i="33"/>
  <c r="G74" i="31"/>
  <c r="S58" i="28"/>
  <c r="F49" i="33"/>
  <c r="F75" i="31"/>
  <c r="T59" i="28"/>
  <c r="G50" i="33"/>
  <c r="G76" i="31"/>
  <c r="S60" i="28"/>
  <c r="F51" i="33"/>
  <c r="F77" i="31"/>
  <c r="T61" i="28"/>
  <c r="G52" i="33"/>
  <c r="G78" i="31"/>
  <c r="S62" i="28"/>
  <c r="F53" i="33"/>
  <c r="F79" i="31"/>
  <c r="T63" i="28"/>
  <c r="G54" i="33"/>
  <c r="G80" i="31"/>
  <c r="S64" i="28"/>
  <c r="F55" i="33"/>
  <c r="F81" i="31"/>
  <c r="T65" i="28"/>
  <c r="G56" i="33"/>
  <c r="G82" i="31"/>
  <c r="S66" i="28"/>
  <c r="F57" i="33"/>
  <c r="F83" i="31"/>
  <c r="R21" i="27"/>
  <c r="E12" i="26"/>
  <c r="G84" i="31"/>
  <c r="Q22" i="27"/>
  <c r="F85" i="31"/>
  <c r="T58" i="28"/>
  <c r="G49" i="33"/>
  <c r="G75" i="31"/>
  <c r="S59" i="28"/>
  <c r="F50" i="33"/>
  <c r="F76" i="31"/>
  <c r="T60" i="28"/>
  <c r="G51" i="33"/>
  <c r="G77" i="31"/>
  <c r="S61" i="28"/>
  <c r="F52" i="33"/>
  <c r="F78" i="31"/>
  <c r="T62" i="28"/>
  <c r="G53" i="33"/>
  <c r="G79" i="31"/>
  <c r="S63" i="28"/>
  <c r="F54" i="33"/>
  <c r="F80" i="31"/>
  <c r="T64" i="28"/>
  <c r="G55" i="33"/>
  <c r="G81" i="31"/>
  <c r="S65" i="28"/>
  <c r="F56" i="33"/>
  <c r="F82" i="31"/>
  <c r="T66" i="28"/>
  <c r="G57" i="33"/>
  <c r="G83" i="31"/>
  <c r="S21" i="27"/>
  <c r="F12" i="26"/>
  <c r="H84" i="31"/>
  <c r="T22" i="27"/>
  <c r="I85" i="31"/>
  <c r="K53" i="33" l="1"/>
  <c r="G131" i="31"/>
  <c r="K51" i="33"/>
  <c r="G129" i="31"/>
  <c r="H13" i="26"/>
  <c r="F137" i="31"/>
  <c r="J55" i="33"/>
  <c r="F133" i="31"/>
  <c r="J53" i="33"/>
  <c r="F131" i="31"/>
  <c r="J51" i="33"/>
  <c r="F129" i="31"/>
  <c r="M45" i="33"/>
  <c r="I123" i="31"/>
  <c r="M41" i="33"/>
  <c r="I119" i="31"/>
  <c r="M35" i="33"/>
  <c r="I113" i="31"/>
  <c r="M33" i="33"/>
  <c r="I111" i="31"/>
  <c r="M31" i="33"/>
  <c r="I109" i="31"/>
  <c r="M29" i="33"/>
  <c r="I107" i="31"/>
  <c r="M27" i="33"/>
  <c r="I105" i="31"/>
  <c r="J47" i="33"/>
  <c r="F125" i="31"/>
  <c r="J45" i="33"/>
  <c r="F123" i="31"/>
  <c r="J43" i="33"/>
  <c r="F121" i="31"/>
  <c r="J41" i="33"/>
  <c r="F119" i="31"/>
  <c r="J35" i="33"/>
  <c r="F113" i="31"/>
  <c r="J33" i="33"/>
  <c r="F111" i="31"/>
  <c r="M28" i="33"/>
  <c r="I106" i="31"/>
  <c r="J12" i="26"/>
  <c r="H136" i="31"/>
  <c r="J56" i="33"/>
  <c r="F134" i="31"/>
  <c r="J54" i="33"/>
  <c r="F132" i="31"/>
  <c r="J52" i="33"/>
  <c r="F130" i="31"/>
  <c r="J50" i="33"/>
  <c r="F128" i="31"/>
  <c r="I12" i="26"/>
  <c r="G136" i="31"/>
  <c r="K56" i="33"/>
  <c r="G134" i="31"/>
  <c r="K54" i="33"/>
  <c r="G132" i="31"/>
  <c r="K52" i="33"/>
  <c r="G130" i="31"/>
  <c r="K50" i="33"/>
  <c r="G128" i="31"/>
  <c r="K48" i="33"/>
  <c r="G126" i="31"/>
  <c r="L46" i="33"/>
  <c r="H124" i="31"/>
  <c r="L44" i="33"/>
  <c r="H122" i="31"/>
  <c r="L42" i="33"/>
  <c r="H120" i="31"/>
  <c r="L40" i="33"/>
  <c r="H118" i="31"/>
  <c r="L38" i="33"/>
  <c r="H116" i="31"/>
  <c r="L36" i="33"/>
  <c r="H114" i="31"/>
  <c r="L34" i="33"/>
  <c r="H112" i="31"/>
  <c r="L32" i="33"/>
  <c r="H110" i="31"/>
  <c r="L30" i="33"/>
  <c r="H108" i="31"/>
  <c r="L28" i="33"/>
  <c r="H106" i="31"/>
  <c r="J48" i="33"/>
  <c r="F126" i="31"/>
  <c r="K46" i="33"/>
  <c r="G124" i="31"/>
  <c r="K44" i="33"/>
  <c r="G122" i="31"/>
  <c r="K42" i="33"/>
  <c r="G120" i="31"/>
  <c r="K40" i="33"/>
  <c r="G118" i="31"/>
  <c r="K38" i="33"/>
  <c r="G116" i="31"/>
  <c r="K36" i="33"/>
  <c r="G114" i="31"/>
  <c r="K34" i="33"/>
  <c r="G112" i="31"/>
  <c r="K32" i="33"/>
  <c r="G110" i="31"/>
  <c r="K30" i="33"/>
  <c r="G108" i="31"/>
  <c r="L26" i="33"/>
  <c r="H104" i="31"/>
  <c r="L24" i="33"/>
  <c r="H102" i="31"/>
  <c r="L22" i="33"/>
  <c r="H100" i="31"/>
  <c r="L20" i="33"/>
  <c r="H98" i="31"/>
  <c r="L18" i="33"/>
  <c r="H96" i="31"/>
  <c r="L16" i="33"/>
  <c r="H94" i="31"/>
  <c r="L14" i="33"/>
  <c r="H92" i="31"/>
  <c r="U74" i="28"/>
  <c r="U73" i="28"/>
  <c r="U72" i="28"/>
  <c r="U71" i="28"/>
  <c r="U70" i="28"/>
  <c r="U69" i="28"/>
  <c r="L58" i="33" s="1"/>
  <c r="U68" i="28"/>
  <c r="L60" i="33" s="1"/>
  <c r="U67" i="28"/>
  <c r="L59" i="33" s="1"/>
  <c r="L12" i="33"/>
  <c r="H90" i="31"/>
  <c r="L27" i="33"/>
  <c r="H105" i="31"/>
  <c r="J25" i="33"/>
  <c r="F103" i="31"/>
  <c r="J23" i="33"/>
  <c r="F101" i="31"/>
  <c r="J21" i="33"/>
  <c r="F99" i="31"/>
  <c r="J19" i="33"/>
  <c r="F97" i="31"/>
  <c r="J17" i="33"/>
  <c r="F95" i="31"/>
  <c r="J15" i="33"/>
  <c r="F93" i="31"/>
  <c r="J13" i="33"/>
  <c r="F91" i="31"/>
  <c r="D7" i="36"/>
  <c r="D12" i="34" s="1"/>
  <c r="F93" i="20" s="1"/>
  <c r="H12" i="35"/>
  <c r="F136" i="30"/>
  <c r="F51" i="37"/>
  <c r="F56" i="4" s="1"/>
  <c r="F91" i="20" s="1"/>
  <c r="J56" i="32"/>
  <c r="F134" i="30"/>
  <c r="F49" i="37"/>
  <c r="F54" i="4" s="1"/>
  <c r="F89" i="20" s="1"/>
  <c r="J54" i="32"/>
  <c r="F132" i="30"/>
  <c r="F47" i="37"/>
  <c r="F52" i="4" s="1"/>
  <c r="F87" i="20" s="1"/>
  <c r="J52" i="32"/>
  <c r="F130" i="30"/>
  <c r="F45" i="37"/>
  <c r="F50" i="4" s="1"/>
  <c r="F85" i="20" s="1"/>
  <c r="J50" i="32"/>
  <c r="F128" i="30"/>
  <c r="E7" i="36"/>
  <c r="E12" i="34" s="1"/>
  <c r="G93" i="20" s="1"/>
  <c r="I12" i="35"/>
  <c r="G136" i="30"/>
  <c r="G51" i="37"/>
  <c r="G56" i="4" s="1"/>
  <c r="G91" i="20" s="1"/>
  <c r="K56" i="32"/>
  <c r="G134" i="30"/>
  <c r="G49" i="37"/>
  <c r="G54" i="4" s="1"/>
  <c r="G89" i="20" s="1"/>
  <c r="K54" i="32"/>
  <c r="G132" i="30"/>
  <c r="G47" i="37"/>
  <c r="G52" i="4" s="1"/>
  <c r="G87" i="20" s="1"/>
  <c r="K52" i="32"/>
  <c r="G130" i="30"/>
  <c r="G45" i="37"/>
  <c r="G50" i="4" s="1"/>
  <c r="G85" i="20" s="1"/>
  <c r="K50" i="32"/>
  <c r="G128" i="30"/>
  <c r="G43" i="37"/>
  <c r="G48" i="4" s="1"/>
  <c r="G83" i="20" s="1"/>
  <c r="K48" i="32"/>
  <c r="G126" i="30"/>
  <c r="G41" i="37"/>
  <c r="G46" i="4" s="1"/>
  <c r="G81" i="20" s="1"/>
  <c r="K46" i="32"/>
  <c r="G124" i="30"/>
  <c r="G39" i="37"/>
  <c r="G44" i="4" s="1"/>
  <c r="G79" i="20" s="1"/>
  <c r="K44" i="32"/>
  <c r="G122" i="30"/>
  <c r="G42" i="37"/>
  <c r="G47" i="4" s="1"/>
  <c r="G82" i="20" s="1"/>
  <c r="K47" i="32"/>
  <c r="G125" i="30"/>
  <c r="G38" i="37"/>
  <c r="G43" i="4" s="1"/>
  <c r="G78" i="20" s="1"/>
  <c r="K43" i="32"/>
  <c r="G121" i="30"/>
  <c r="G36" i="37"/>
  <c r="G41" i="4" s="1"/>
  <c r="G76" i="20" s="1"/>
  <c r="K41" i="32"/>
  <c r="G119" i="30"/>
  <c r="G34" i="37"/>
  <c r="G39" i="4" s="1"/>
  <c r="G74" i="20" s="1"/>
  <c r="K39" i="32"/>
  <c r="G117" i="30"/>
  <c r="G32" i="37"/>
  <c r="G37" i="4" s="1"/>
  <c r="G72" i="20" s="1"/>
  <c r="K37" i="32"/>
  <c r="G115" i="30"/>
  <c r="G30" i="37"/>
  <c r="G35" i="4" s="1"/>
  <c r="G70" i="20" s="1"/>
  <c r="K35" i="32"/>
  <c r="G113" i="30"/>
  <c r="G28" i="37"/>
  <c r="G33" i="4" s="1"/>
  <c r="G68" i="20" s="1"/>
  <c r="K33" i="32"/>
  <c r="G111" i="30"/>
  <c r="G26" i="37"/>
  <c r="G31" i="4" s="1"/>
  <c r="G66" i="20" s="1"/>
  <c r="K31" i="32"/>
  <c r="G109" i="30"/>
  <c r="G24" i="37"/>
  <c r="G29" i="4" s="1"/>
  <c r="G64" i="20" s="1"/>
  <c r="K29" i="32"/>
  <c r="G107" i="30"/>
  <c r="G22" i="37"/>
  <c r="G27" i="4" s="1"/>
  <c r="G62" i="20" s="1"/>
  <c r="K27" i="32"/>
  <c r="G105" i="30"/>
  <c r="G20" i="37"/>
  <c r="G25" i="4" s="1"/>
  <c r="G60" i="20" s="1"/>
  <c r="K25" i="32"/>
  <c r="G103" i="30"/>
  <c r="G18" i="37"/>
  <c r="G23" i="4" s="1"/>
  <c r="G58" i="20" s="1"/>
  <c r="K23" i="32"/>
  <c r="G101" i="30"/>
  <c r="G16" i="37"/>
  <c r="G21" i="4" s="1"/>
  <c r="G56" i="20" s="1"/>
  <c r="K21" i="32"/>
  <c r="G99" i="30"/>
  <c r="G14" i="37"/>
  <c r="G19" i="4" s="1"/>
  <c r="G54" i="20" s="1"/>
  <c r="K19" i="32"/>
  <c r="G97" i="30"/>
  <c r="G12" i="37"/>
  <c r="G17" i="4" s="1"/>
  <c r="G52" i="20" s="1"/>
  <c r="K17" i="32"/>
  <c r="G95" i="30"/>
  <c r="G10" i="37"/>
  <c r="G15" i="4" s="1"/>
  <c r="G50" i="20" s="1"/>
  <c r="K15" i="32"/>
  <c r="G93" i="30"/>
  <c r="G8" i="37"/>
  <c r="G13" i="4" s="1"/>
  <c r="G48" i="20" s="1"/>
  <c r="K13" i="32"/>
  <c r="G91" i="30"/>
  <c r="F30" i="31"/>
  <c r="F59" i="32"/>
  <c r="F30" i="30" s="1"/>
  <c r="F29" i="31"/>
  <c r="F58" i="32"/>
  <c r="F29" i="30" s="1"/>
  <c r="I42" i="37"/>
  <c r="I47" i="4" s="1"/>
  <c r="I82" i="20" s="1"/>
  <c r="M47" i="32"/>
  <c r="I125" i="30"/>
  <c r="I38" i="37"/>
  <c r="I43" i="4" s="1"/>
  <c r="I78" i="20" s="1"/>
  <c r="M43" i="32"/>
  <c r="I121" i="30"/>
  <c r="F36" i="37"/>
  <c r="F41" i="4" s="1"/>
  <c r="F76" i="20" s="1"/>
  <c r="J41" i="32"/>
  <c r="F119" i="30"/>
  <c r="F34" i="37"/>
  <c r="F39" i="4" s="1"/>
  <c r="F74" i="20" s="1"/>
  <c r="J39" i="32"/>
  <c r="F117" i="30"/>
  <c r="F32" i="37"/>
  <c r="F37" i="4" s="1"/>
  <c r="F72" i="20" s="1"/>
  <c r="J37" i="32"/>
  <c r="F115" i="30"/>
  <c r="F30" i="37"/>
  <c r="F35" i="4" s="1"/>
  <c r="F70" i="20" s="1"/>
  <c r="J35" i="32"/>
  <c r="F113" i="30"/>
  <c r="F28" i="37"/>
  <c r="F33" i="4" s="1"/>
  <c r="F68" i="20" s="1"/>
  <c r="J33" i="32"/>
  <c r="F111" i="30"/>
  <c r="F26" i="37"/>
  <c r="F31" i="4" s="1"/>
  <c r="F66" i="20" s="1"/>
  <c r="J31" i="32"/>
  <c r="F109" i="30"/>
  <c r="F24" i="37"/>
  <c r="F29" i="4" s="1"/>
  <c r="F64" i="20" s="1"/>
  <c r="J29" i="32"/>
  <c r="F107" i="30"/>
  <c r="F20" i="37"/>
  <c r="F25" i="4" s="1"/>
  <c r="F60" i="20" s="1"/>
  <c r="J25" i="32"/>
  <c r="F103" i="30"/>
  <c r="F16" i="37"/>
  <c r="F21" i="4" s="1"/>
  <c r="F56" i="20" s="1"/>
  <c r="J21" i="32"/>
  <c r="F99" i="30"/>
  <c r="F12" i="37"/>
  <c r="F17" i="4" s="1"/>
  <c r="F52" i="20" s="1"/>
  <c r="J17" i="32"/>
  <c r="F95" i="30"/>
  <c r="F8" i="37"/>
  <c r="F13" i="4" s="1"/>
  <c r="F48" i="20" s="1"/>
  <c r="J13" i="32"/>
  <c r="F91" i="30"/>
  <c r="I13" i="26"/>
  <c r="G137" i="31"/>
  <c r="M57" i="33"/>
  <c r="I135" i="31"/>
  <c r="M55" i="33"/>
  <c r="I133" i="31"/>
  <c r="M53" i="33"/>
  <c r="I131" i="31"/>
  <c r="M51" i="33"/>
  <c r="I129" i="31"/>
  <c r="M49" i="33"/>
  <c r="I127" i="31"/>
  <c r="J13" i="26"/>
  <c r="H137" i="31"/>
  <c r="L57" i="33"/>
  <c r="H135" i="31"/>
  <c r="L55" i="33"/>
  <c r="H133" i="31"/>
  <c r="L53" i="33"/>
  <c r="H131" i="31"/>
  <c r="L51" i="33"/>
  <c r="H129" i="31"/>
  <c r="L49" i="33"/>
  <c r="H127" i="31"/>
  <c r="L47" i="33"/>
  <c r="H125" i="31"/>
  <c r="J46" i="33"/>
  <c r="F124" i="31"/>
  <c r="J44" i="33"/>
  <c r="F122" i="31"/>
  <c r="J42" i="33"/>
  <c r="F120" i="31"/>
  <c r="J40" i="33"/>
  <c r="F118" i="31"/>
  <c r="J38" i="33"/>
  <c r="F116" i="31"/>
  <c r="J36" i="33"/>
  <c r="F114" i="31"/>
  <c r="J34" i="33"/>
  <c r="F112" i="31"/>
  <c r="J32" i="33"/>
  <c r="F110" i="31"/>
  <c r="J30" i="33"/>
  <c r="F108" i="31"/>
  <c r="J28" i="33"/>
  <c r="F106" i="31"/>
  <c r="M47" i="33"/>
  <c r="I125" i="31"/>
  <c r="L45" i="33"/>
  <c r="H123" i="31"/>
  <c r="L43" i="33"/>
  <c r="H121" i="31"/>
  <c r="L41" i="33"/>
  <c r="H119" i="31"/>
  <c r="L39" i="33"/>
  <c r="H117" i="31"/>
  <c r="L37" i="33"/>
  <c r="H115" i="31"/>
  <c r="L35" i="33"/>
  <c r="H113" i="31"/>
  <c r="L33" i="33"/>
  <c r="H111" i="31"/>
  <c r="L31" i="33"/>
  <c r="H109" i="31"/>
  <c r="J29" i="33"/>
  <c r="F107" i="31"/>
  <c r="J26" i="33"/>
  <c r="F104" i="31"/>
  <c r="J24" i="33"/>
  <c r="F102" i="31"/>
  <c r="J22" i="33"/>
  <c r="F100" i="31"/>
  <c r="J20" i="33"/>
  <c r="F98" i="31"/>
  <c r="J18" i="33"/>
  <c r="F96" i="31"/>
  <c r="J16" i="33"/>
  <c r="F94" i="31"/>
  <c r="J14" i="33"/>
  <c r="F92" i="31"/>
  <c r="S74" i="28"/>
  <c r="S73" i="28"/>
  <c r="S72" i="28"/>
  <c r="S71" i="28"/>
  <c r="S70" i="28"/>
  <c r="S69" i="28"/>
  <c r="J58" i="33" s="1"/>
  <c r="S68" i="28"/>
  <c r="J60" i="33" s="1"/>
  <c r="S67" i="28"/>
  <c r="J59" i="33" s="1"/>
  <c r="J12" i="33"/>
  <c r="F90" i="31"/>
  <c r="M26" i="33"/>
  <c r="I104" i="31"/>
  <c r="M24" i="33"/>
  <c r="I102" i="31"/>
  <c r="M22" i="33"/>
  <c r="I100" i="31"/>
  <c r="M20" i="33"/>
  <c r="I98" i="31"/>
  <c r="M18" i="33"/>
  <c r="I96" i="31"/>
  <c r="M16" i="33"/>
  <c r="I94" i="31"/>
  <c r="M14" i="33"/>
  <c r="I92" i="31"/>
  <c r="V74" i="28"/>
  <c r="V73" i="28"/>
  <c r="V72" i="28"/>
  <c r="V71" i="28"/>
  <c r="V70" i="28"/>
  <c r="V69" i="28"/>
  <c r="M58" i="33" s="1"/>
  <c r="V68" i="28"/>
  <c r="M60" i="33" s="1"/>
  <c r="V67" i="28"/>
  <c r="M59" i="33" s="1"/>
  <c r="M12" i="33"/>
  <c r="I90" i="31"/>
  <c r="G8" i="36"/>
  <c r="G13" i="34" s="1"/>
  <c r="I94" i="20" s="1"/>
  <c r="K13" i="35"/>
  <c r="I137" i="30"/>
  <c r="I52" i="37"/>
  <c r="I57" i="4" s="1"/>
  <c r="I92" i="20" s="1"/>
  <c r="M57" i="32"/>
  <c r="I135" i="30"/>
  <c r="I50" i="37"/>
  <c r="I55" i="4" s="1"/>
  <c r="I90" i="20" s="1"/>
  <c r="M55" i="32"/>
  <c r="I133" i="30"/>
  <c r="I48" i="37"/>
  <c r="I53" i="4" s="1"/>
  <c r="I88" i="20" s="1"/>
  <c r="M53" i="32"/>
  <c r="I131" i="30"/>
  <c r="I46" i="37"/>
  <c r="I51" i="4" s="1"/>
  <c r="I86" i="20" s="1"/>
  <c r="M51" i="32"/>
  <c r="I129" i="30"/>
  <c r="I44" i="37"/>
  <c r="I49" i="4" s="1"/>
  <c r="I84" i="20" s="1"/>
  <c r="M49" i="32"/>
  <c r="I127" i="30"/>
  <c r="F8" i="36"/>
  <c r="F13" i="34" s="1"/>
  <c r="H94" i="20" s="1"/>
  <c r="J13" i="35"/>
  <c r="H137" i="30"/>
  <c r="H52" i="37"/>
  <c r="H57" i="4" s="1"/>
  <c r="H92" i="20" s="1"/>
  <c r="L57" i="32"/>
  <c r="H135" i="30"/>
  <c r="H50" i="37"/>
  <c r="H55" i="4" s="1"/>
  <c r="H90" i="20" s="1"/>
  <c r="L55" i="32"/>
  <c r="H133" i="30"/>
  <c r="H48" i="37"/>
  <c r="H53" i="4" s="1"/>
  <c r="H88" i="20" s="1"/>
  <c r="L53" i="32"/>
  <c r="H131" i="30"/>
  <c r="H46" i="37"/>
  <c r="H51" i="4" s="1"/>
  <c r="H86" i="20" s="1"/>
  <c r="L51" i="32"/>
  <c r="H129" i="30"/>
  <c r="H44" i="37"/>
  <c r="H49" i="4" s="1"/>
  <c r="H84" i="20" s="1"/>
  <c r="L49" i="32"/>
  <c r="H127" i="30"/>
  <c r="H42" i="37"/>
  <c r="H47" i="4" s="1"/>
  <c r="H82" i="20" s="1"/>
  <c r="L47" i="32"/>
  <c r="H125" i="30"/>
  <c r="H40" i="37"/>
  <c r="H45" i="4" s="1"/>
  <c r="H80" i="20" s="1"/>
  <c r="L45" i="32"/>
  <c r="H123" i="30"/>
  <c r="H38" i="37"/>
  <c r="H43" i="4" s="1"/>
  <c r="H78" i="20" s="1"/>
  <c r="L43" i="32"/>
  <c r="H121" i="30"/>
  <c r="H41" i="37"/>
  <c r="H46" i="4" s="1"/>
  <c r="H81" i="20" s="1"/>
  <c r="L46" i="32"/>
  <c r="H124" i="30"/>
  <c r="H37" i="37"/>
  <c r="H42" i="4" s="1"/>
  <c r="H77" i="20" s="1"/>
  <c r="L42" i="32"/>
  <c r="H120" i="30"/>
  <c r="H35" i="37"/>
  <c r="H40" i="4" s="1"/>
  <c r="H75" i="20" s="1"/>
  <c r="L40" i="32"/>
  <c r="H118" i="30"/>
  <c r="H33" i="37"/>
  <c r="H38" i="4" s="1"/>
  <c r="H73" i="20" s="1"/>
  <c r="L38" i="32"/>
  <c r="H116" i="30"/>
  <c r="H31" i="37"/>
  <c r="H36" i="4" s="1"/>
  <c r="H71" i="20" s="1"/>
  <c r="L36" i="32"/>
  <c r="H114" i="30"/>
  <c r="H29" i="37"/>
  <c r="H34" i="4" s="1"/>
  <c r="H69" i="20" s="1"/>
  <c r="L34" i="32"/>
  <c r="H112" i="30"/>
  <c r="H27" i="37"/>
  <c r="H32" i="4" s="1"/>
  <c r="H67" i="20" s="1"/>
  <c r="L32" i="32"/>
  <c r="H110" i="30"/>
  <c r="H25" i="37"/>
  <c r="H30" i="4" s="1"/>
  <c r="H65" i="20" s="1"/>
  <c r="L30" i="32"/>
  <c r="H108" i="30"/>
  <c r="H23" i="37"/>
  <c r="H28" i="4" s="1"/>
  <c r="H63" i="20" s="1"/>
  <c r="L28" i="32"/>
  <c r="H106" i="30"/>
  <c r="H21" i="37"/>
  <c r="H26" i="4" s="1"/>
  <c r="H61" i="20" s="1"/>
  <c r="L26" i="32"/>
  <c r="H104" i="30"/>
  <c r="H19" i="37"/>
  <c r="H24" i="4" s="1"/>
  <c r="H59" i="20" s="1"/>
  <c r="L24" i="32"/>
  <c r="H102" i="30"/>
  <c r="H17" i="37"/>
  <c r="H22" i="4" s="1"/>
  <c r="H57" i="20" s="1"/>
  <c r="L22" i="32"/>
  <c r="H100" i="30"/>
  <c r="H15" i="37"/>
  <c r="H20" i="4" s="1"/>
  <c r="H55" i="20" s="1"/>
  <c r="L20" i="32"/>
  <c r="H98" i="30"/>
  <c r="H13" i="37"/>
  <c r="H18" i="4" s="1"/>
  <c r="H53" i="20" s="1"/>
  <c r="L18" i="32"/>
  <c r="H96" i="30"/>
  <c r="H11" i="37"/>
  <c r="H16" i="4" s="1"/>
  <c r="H51" i="20" s="1"/>
  <c r="L16" i="32"/>
  <c r="H94" i="30"/>
  <c r="H9" i="37"/>
  <c r="H14" i="4" s="1"/>
  <c r="H49" i="20" s="1"/>
  <c r="L14" i="32"/>
  <c r="H92" i="30"/>
  <c r="U74" i="6"/>
  <c r="U73" i="6"/>
  <c r="U72" i="6"/>
  <c r="U71" i="6"/>
  <c r="U70" i="6"/>
  <c r="U69" i="6"/>
  <c r="U68" i="6"/>
  <c r="U67" i="6"/>
  <c r="H7" i="37"/>
  <c r="L12" i="32"/>
  <c r="H90" i="30"/>
  <c r="H31" i="31"/>
  <c r="H60" i="32"/>
  <c r="H31" i="30" s="1"/>
  <c r="F41" i="37"/>
  <c r="F46" i="4" s="1"/>
  <c r="F81" i="20" s="1"/>
  <c r="J46" i="32"/>
  <c r="F124" i="30"/>
  <c r="I37" i="37"/>
  <c r="I42" i="4" s="1"/>
  <c r="I77" i="20" s="1"/>
  <c r="M42" i="32"/>
  <c r="I120" i="30"/>
  <c r="I35" i="37"/>
  <c r="I40" i="4" s="1"/>
  <c r="I75" i="20" s="1"/>
  <c r="M40" i="32"/>
  <c r="I118" i="30"/>
  <c r="I33" i="37"/>
  <c r="I38" i="4" s="1"/>
  <c r="I73" i="20" s="1"/>
  <c r="M38" i="32"/>
  <c r="I116" i="30"/>
  <c r="I31" i="37"/>
  <c r="I36" i="4" s="1"/>
  <c r="I71" i="20" s="1"/>
  <c r="M36" i="32"/>
  <c r="I114" i="30"/>
  <c r="I29" i="37"/>
  <c r="I34" i="4" s="1"/>
  <c r="I69" i="20" s="1"/>
  <c r="M34" i="32"/>
  <c r="I112" i="30"/>
  <c r="I27" i="37"/>
  <c r="I32" i="4" s="1"/>
  <c r="I67" i="20" s="1"/>
  <c r="M32" i="32"/>
  <c r="I110" i="30"/>
  <c r="I25" i="37"/>
  <c r="I30" i="4" s="1"/>
  <c r="I65" i="20" s="1"/>
  <c r="M30" i="32"/>
  <c r="I108" i="30"/>
  <c r="I23" i="37"/>
  <c r="I28" i="4" s="1"/>
  <c r="I63" i="20" s="1"/>
  <c r="M28" i="32"/>
  <c r="I106" i="30"/>
  <c r="I21" i="37"/>
  <c r="I26" i="4" s="1"/>
  <c r="I61" i="20" s="1"/>
  <c r="M26" i="32"/>
  <c r="I104" i="30"/>
  <c r="I19" i="37"/>
  <c r="I24" i="4" s="1"/>
  <c r="I59" i="20" s="1"/>
  <c r="M24" i="32"/>
  <c r="I102" i="30"/>
  <c r="I17" i="37"/>
  <c r="I22" i="4" s="1"/>
  <c r="I57" i="20" s="1"/>
  <c r="M22" i="32"/>
  <c r="I100" i="30"/>
  <c r="I15" i="37"/>
  <c r="I20" i="4" s="1"/>
  <c r="I55" i="20" s="1"/>
  <c r="M20" i="32"/>
  <c r="I98" i="30"/>
  <c r="I13" i="37"/>
  <c r="I18" i="4" s="1"/>
  <c r="I53" i="20" s="1"/>
  <c r="M18" i="32"/>
  <c r="I96" i="30"/>
  <c r="I11" i="37"/>
  <c r="I16" i="4" s="1"/>
  <c r="I51" i="20" s="1"/>
  <c r="M16" i="32"/>
  <c r="I94" i="30"/>
  <c r="I9" i="37"/>
  <c r="I14" i="4" s="1"/>
  <c r="I49" i="20" s="1"/>
  <c r="M14" i="32"/>
  <c r="I92" i="30"/>
  <c r="V74" i="6"/>
  <c r="V73" i="6"/>
  <c r="V72" i="6"/>
  <c r="V71" i="6"/>
  <c r="V70" i="6"/>
  <c r="V69" i="6"/>
  <c r="V68" i="6"/>
  <c r="V67" i="6"/>
  <c r="I7" i="37"/>
  <c r="M12" i="32"/>
  <c r="I90" i="30"/>
  <c r="I31" i="31"/>
  <c r="I60" i="32"/>
  <c r="I31" i="30" s="1"/>
  <c r="G21" i="37"/>
  <c r="G26" i="4" s="1"/>
  <c r="G61" i="20" s="1"/>
  <c r="K26" i="32"/>
  <c r="G104" i="30"/>
  <c r="G17" i="37"/>
  <c r="G22" i="4" s="1"/>
  <c r="G57" i="20" s="1"/>
  <c r="K22" i="32"/>
  <c r="G100" i="30"/>
  <c r="G13" i="37"/>
  <c r="G18" i="4" s="1"/>
  <c r="G53" i="20" s="1"/>
  <c r="K18" i="32"/>
  <c r="G96" i="30"/>
  <c r="G9" i="37"/>
  <c r="G14" i="4" s="1"/>
  <c r="G49" i="20" s="1"/>
  <c r="K14" i="32"/>
  <c r="G92" i="30"/>
  <c r="G30" i="31"/>
  <c r="G59" i="32"/>
  <c r="G30" i="30" s="1"/>
  <c r="G29" i="31"/>
  <c r="G58" i="32"/>
  <c r="G29" i="30" s="1"/>
  <c r="K13" i="26"/>
  <c r="I137" i="31"/>
  <c r="K57" i="33"/>
  <c r="G135" i="31"/>
  <c r="K55" i="33"/>
  <c r="G133" i="31"/>
  <c r="K49" i="33"/>
  <c r="G127" i="31"/>
  <c r="J57" i="33"/>
  <c r="F135" i="31"/>
  <c r="J49" i="33"/>
  <c r="F127" i="31"/>
  <c r="L48" i="33"/>
  <c r="H126" i="31"/>
  <c r="M43" i="33"/>
  <c r="I121" i="31"/>
  <c r="M39" i="33"/>
  <c r="I117" i="31"/>
  <c r="M37" i="33"/>
  <c r="I115" i="31"/>
  <c r="J39" i="33"/>
  <c r="F117" i="31"/>
  <c r="J37" i="33"/>
  <c r="F115" i="31"/>
  <c r="J31" i="33"/>
  <c r="F109" i="31"/>
  <c r="M25" i="33"/>
  <c r="I103" i="31"/>
  <c r="M23" i="33"/>
  <c r="I101" i="31"/>
  <c r="M21" i="33"/>
  <c r="I99" i="31"/>
  <c r="M19" i="33"/>
  <c r="I97" i="31"/>
  <c r="M17" i="33"/>
  <c r="I95" i="31"/>
  <c r="M15" i="33"/>
  <c r="I93" i="31"/>
  <c r="M13" i="33"/>
  <c r="I91" i="31"/>
  <c r="L29" i="33"/>
  <c r="H107" i="31"/>
  <c r="K26" i="33"/>
  <c r="G104" i="31"/>
  <c r="K24" i="33"/>
  <c r="G102" i="31"/>
  <c r="K22" i="33"/>
  <c r="G100" i="31"/>
  <c r="K20" i="33"/>
  <c r="G98" i="31"/>
  <c r="K18" i="33"/>
  <c r="G96" i="31"/>
  <c r="K16" i="33"/>
  <c r="G94" i="31"/>
  <c r="K14" i="33"/>
  <c r="G92" i="31"/>
  <c r="T74" i="28"/>
  <c r="T73" i="28"/>
  <c r="T72" i="28"/>
  <c r="T71" i="28"/>
  <c r="T70" i="28"/>
  <c r="T69" i="28"/>
  <c r="K58" i="33" s="1"/>
  <c r="T68" i="28"/>
  <c r="K60" i="33" s="1"/>
  <c r="T67" i="28"/>
  <c r="K59" i="33" s="1"/>
  <c r="K12" i="33"/>
  <c r="G90" i="31"/>
  <c r="E8" i="36"/>
  <c r="E13" i="34" s="1"/>
  <c r="G94" i="20" s="1"/>
  <c r="I13" i="35"/>
  <c r="G137" i="30"/>
  <c r="G52" i="37"/>
  <c r="G57" i="4" s="1"/>
  <c r="G92" i="20" s="1"/>
  <c r="K57" i="32"/>
  <c r="G135" i="30"/>
  <c r="G50" i="37"/>
  <c r="G55" i="4" s="1"/>
  <c r="G90" i="20" s="1"/>
  <c r="K55" i="32"/>
  <c r="G133" i="30"/>
  <c r="G48" i="37"/>
  <c r="G53" i="4" s="1"/>
  <c r="G88" i="20" s="1"/>
  <c r="K53" i="32"/>
  <c r="G131" i="30"/>
  <c r="G46" i="37"/>
  <c r="G51" i="4" s="1"/>
  <c r="G86" i="20" s="1"/>
  <c r="K51" i="32"/>
  <c r="G129" i="30"/>
  <c r="G44" i="37"/>
  <c r="G49" i="4" s="1"/>
  <c r="G84" i="20" s="1"/>
  <c r="K49" i="32"/>
  <c r="G127" i="30"/>
  <c r="D8" i="36"/>
  <c r="D13" i="34" s="1"/>
  <c r="F94" i="20" s="1"/>
  <c r="H13" i="35"/>
  <c r="F137" i="30"/>
  <c r="F52" i="37"/>
  <c r="F57" i="4" s="1"/>
  <c r="F92" i="20" s="1"/>
  <c r="J57" i="32"/>
  <c r="F135" i="30"/>
  <c r="F50" i="37"/>
  <c r="F55" i="4" s="1"/>
  <c r="F90" i="20" s="1"/>
  <c r="J55" i="32"/>
  <c r="F133" i="30"/>
  <c r="F48" i="37"/>
  <c r="F53" i="4" s="1"/>
  <c r="F88" i="20" s="1"/>
  <c r="J53" i="32"/>
  <c r="F131" i="30"/>
  <c r="F46" i="37"/>
  <c r="F51" i="4" s="1"/>
  <c r="F86" i="20" s="1"/>
  <c r="J51" i="32"/>
  <c r="F129" i="30"/>
  <c r="F44" i="37"/>
  <c r="F49" i="4" s="1"/>
  <c r="F84" i="20" s="1"/>
  <c r="J49" i="32"/>
  <c r="F127" i="30"/>
  <c r="F42" i="37"/>
  <c r="F47" i="4" s="1"/>
  <c r="F82" i="20" s="1"/>
  <c r="J47" i="32"/>
  <c r="F125" i="30"/>
  <c r="F40" i="37"/>
  <c r="F45" i="4" s="1"/>
  <c r="F80" i="20" s="1"/>
  <c r="J45" i="32"/>
  <c r="F123" i="30"/>
  <c r="F38" i="37"/>
  <c r="F43" i="4" s="1"/>
  <c r="F78" i="20" s="1"/>
  <c r="J43" i="32"/>
  <c r="F121" i="30"/>
  <c r="G40" i="37"/>
  <c r="G45" i="4" s="1"/>
  <c r="G80" i="20" s="1"/>
  <c r="K45" i="32"/>
  <c r="G123" i="30"/>
  <c r="F37" i="37"/>
  <c r="F42" i="4" s="1"/>
  <c r="F77" i="20" s="1"/>
  <c r="J42" i="32"/>
  <c r="F120" i="30"/>
  <c r="F35" i="37"/>
  <c r="F40" i="4" s="1"/>
  <c r="F75" i="20" s="1"/>
  <c r="J40" i="32"/>
  <c r="F118" i="30"/>
  <c r="F33" i="37"/>
  <c r="F38" i="4" s="1"/>
  <c r="F73" i="20" s="1"/>
  <c r="J38" i="32"/>
  <c r="F116" i="30"/>
  <c r="F31" i="37"/>
  <c r="F36" i="4" s="1"/>
  <c r="F71" i="20" s="1"/>
  <c r="J36" i="32"/>
  <c r="F114" i="30"/>
  <c r="F29" i="37"/>
  <c r="F34" i="4" s="1"/>
  <c r="F69" i="20" s="1"/>
  <c r="J34" i="32"/>
  <c r="F112" i="30"/>
  <c r="F27" i="37"/>
  <c r="F32" i="4" s="1"/>
  <c r="F67" i="20" s="1"/>
  <c r="J32" i="32"/>
  <c r="F110" i="30"/>
  <c r="F25" i="37"/>
  <c r="F30" i="4" s="1"/>
  <c r="F65" i="20" s="1"/>
  <c r="J30" i="32"/>
  <c r="F108" i="30"/>
  <c r="F23" i="37"/>
  <c r="F28" i="4" s="1"/>
  <c r="F63" i="20" s="1"/>
  <c r="J28" i="32"/>
  <c r="F106" i="30"/>
  <c r="F21" i="37"/>
  <c r="F26" i="4" s="1"/>
  <c r="F61" i="20" s="1"/>
  <c r="J26" i="32"/>
  <c r="F104" i="30"/>
  <c r="F19" i="37"/>
  <c r="F24" i="4" s="1"/>
  <c r="F59" i="20" s="1"/>
  <c r="J24" i="32"/>
  <c r="F102" i="30"/>
  <c r="F17" i="37"/>
  <c r="F22" i="4" s="1"/>
  <c r="F57" i="20" s="1"/>
  <c r="J22" i="32"/>
  <c r="F100" i="30"/>
  <c r="F15" i="37"/>
  <c r="F20" i="4" s="1"/>
  <c r="F55" i="20" s="1"/>
  <c r="J20" i="32"/>
  <c r="F98" i="30"/>
  <c r="F13" i="37"/>
  <c r="F18" i="4" s="1"/>
  <c r="F53" i="20" s="1"/>
  <c r="J18" i="32"/>
  <c r="F96" i="30"/>
  <c r="F11" i="37"/>
  <c r="F16" i="4" s="1"/>
  <c r="F51" i="20" s="1"/>
  <c r="J16" i="32"/>
  <c r="F94" i="30"/>
  <c r="F9" i="37"/>
  <c r="F14" i="4" s="1"/>
  <c r="F49" i="20" s="1"/>
  <c r="J14" i="32"/>
  <c r="F92" i="30"/>
  <c r="S74" i="6"/>
  <c r="S73" i="6"/>
  <c r="S72" i="6"/>
  <c r="S71" i="6"/>
  <c r="S70" i="6"/>
  <c r="S69" i="6"/>
  <c r="S68" i="6"/>
  <c r="S67" i="6"/>
  <c r="F7" i="37"/>
  <c r="J12" i="32"/>
  <c r="F90" i="30"/>
  <c r="F31" i="31"/>
  <c r="F60" i="32"/>
  <c r="F31" i="30" s="1"/>
  <c r="I40" i="37"/>
  <c r="I45" i="4" s="1"/>
  <c r="I80" i="20" s="1"/>
  <c r="M45" i="32"/>
  <c r="I123" i="30"/>
  <c r="G37" i="37"/>
  <c r="G42" i="4" s="1"/>
  <c r="G77" i="20" s="1"/>
  <c r="K42" i="32"/>
  <c r="G120" i="30"/>
  <c r="G35" i="37"/>
  <c r="G40" i="4" s="1"/>
  <c r="G75" i="20" s="1"/>
  <c r="K40" i="32"/>
  <c r="G118" i="30"/>
  <c r="G33" i="37"/>
  <c r="G38" i="4" s="1"/>
  <c r="G73" i="20" s="1"/>
  <c r="K38" i="32"/>
  <c r="G116" i="30"/>
  <c r="G31" i="37"/>
  <c r="G36" i="4" s="1"/>
  <c r="G71" i="20" s="1"/>
  <c r="K36" i="32"/>
  <c r="G114" i="30"/>
  <c r="G29" i="37"/>
  <c r="G34" i="4" s="1"/>
  <c r="G69" i="20" s="1"/>
  <c r="K34" i="32"/>
  <c r="G112" i="30"/>
  <c r="G27" i="37"/>
  <c r="G32" i="4" s="1"/>
  <c r="G67" i="20" s="1"/>
  <c r="K32" i="32"/>
  <c r="G110" i="30"/>
  <c r="G25" i="37"/>
  <c r="G30" i="4" s="1"/>
  <c r="G65" i="20" s="1"/>
  <c r="K30" i="32"/>
  <c r="G108" i="30"/>
  <c r="F22" i="37"/>
  <c r="F27" i="4" s="1"/>
  <c r="F62" i="20" s="1"/>
  <c r="J27" i="32"/>
  <c r="F105" i="30"/>
  <c r="F18" i="37"/>
  <c r="F23" i="4" s="1"/>
  <c r="F58" i="20" s="1"/>
  <c r="J23" i="32"/>
  <c r="F101" i="30"/>
  <c r="F14" i="37"/>
  <c r="F19" i="4" s="1"/>
  <c r="F54" i="20" s="1"/>
  <c r="J19" i="32"/>
  <c r="F97" i="30"/>
  <c r="F10" i="37"/>
  <c r="F15" i="4" s="1"/>
  <c r="F50" i="20" s="1"/>
  <c r="J15" i="32"/>
  <c r="F93" i="30"/>
  <c r="H12" i="26"/>
  <c r="F136" i="31"/>
  <c r="L56" i="33"/>
  <c r="H134" i="31"/>
  <c r="L54" i="33"/>
  <c r="H132" i="31"/>
  <c r="L52" i="33"/>
  <c r="H130" i="31"/>
  <c r="L50" i="33"/>
  <c r="H128" i="31"/>
  <c r="K12" i="26"/>
  <c r="I136" i="31"/>
  <c r="M56" i="33"/>
  <c r="I134" i="31"/>
  <c r="M54" i="33"/>
  <c r="I132" i="31"/>
  <c r="M52" i="33"/>
  <c r="I130" i="31"/>
  <c r="M50" i="33"/>
  <c r="I128" i="31"/>
  <c r="M48" i="33"/>
  <c r="I126" i="31"/>
  <c r="K47" i="33"/>
  <c r="G125" i="31"/>
  <c r="K45" i="33"/>
  <c r="G123" i="31"/>
  <c r="K43" i="33"/>
  <c r="G121" i="31"/>
  <c r="K41" i="33"/>
  <c r="G119" i="31"/>
  <c r="K39" i="33"/>
  <c r="G117" i="31"/>
  <c r="K37" i="33"/>
  <c r="G115" i="31"/>
  <c r="K35" i="33"/>
  <c r="G113" i="31"/>
  <c r="K33" i="33"/>
  <c r="G111" i="31"/>
  <c r="K31" i="33"/>
  <c r="G109" i="31"/>
  <c r="K29" i="33"/>
  <c r="G107" i="31"/>
  <c r="K27" i="33"/>
  <c r="G105" i="31"/>
  <c r="M46" i="33"/>
  <c r="I124" i="31"/>
  <c r="M44" i="33"/>
  <c r="I122" i="31"/>
  <c r="M42" i="33"/>
  <c r="I120" i="31"/>
  <c r="M40" i="33"/>
  <c r="I118" i="31"/>
  <c r="M38" i="33"/>
  <c r="I116" i="31"/>
  <c r="M36" i="33"/>
  <c r="I114" i="31"/>
  <c r="M34" i="33"/>
  <c r="I112" i="31"/>
  <c r="M32" i="33"/>
  <c r="I110" i="31"/>
  <c r="M30" i="33"/>
  <c r="I108" i="31"/>
  <c r="J27" i="33"/>
  <c r="F105" i="31"/>
  <c r="K25" i="33"/>
  <c r="G103" i="31"/>
  <c r="K23" i="33"/>
  <c r="G101" i="31"/>
  <c r="K21" i="33"/>
  <c r="G99" i="31"/>
  <c r="K19" i="33"/>
  <c r="G97" i="31"/>
  <c r="K17" i="33"/>
  <c r="G95" i="31"/>
  <c r="K15" i="33"/>
  <c r="G93" i="31"/>
  <c r="K13" i="33"/>
  <c r="G91" i="31"/>
  <c r="K28" i="33"/>
  <c r="G106" i="31"/>
  <c r="L25" i="33"/>
  <c r="H103" i="31"/>
  <c r="L23" i="33"/>
  <c r="H101" i="31"/>
  <c r="L21" i="33"/>
  <c r="H99" i="31"/>
  <c r="L19" i="33"/>
  <c r="H97" i="31"/>
  <c r="L17" i="33"/>
  <c r="H95" i="31"/>
  <c r="L15" i="33"/>
  <c r="H93" i="31"/>
  <c r="L13" i="33"/>
  <c r="H91" i="31"/>
  <c r="F7" i="36"/>
  <c r="F12" i="34" s="1"/>
  <c r="H93" i="20" s="1"/>
  <c r="J12" i="35"/>
  <c r="H136" i="30"/>
  <c r="H51" i="37"/>
  <c r="H56" i="4" s="1"/>
  <c r="H91" i="20" s="1"/>
  <c r="L56" i="32"/>
  <c r="H134" i="30"/>
  <c r="H49" i="37"/>
  <c r="H54" i="4" s="1"/>
  <c r="H89" i="20" s="1"/>
  <c r="L54" i="32"/>
  <c r="H132" i="30"/>
  <c r="H47" i="37"/>
  <c r="H52" i="4" s="1"/>
  <c r="H87" i="20" s="1"/>
  <c r="L52" i="32"/>
  <c r="H130" i="30"/>
  <c r="H45" i="37"/>
  <c r="H50" i="4" s="1"/>
  <c r="H85" i="20" s="1"/>
  <c r="L50" i="32"/>
  <c r="H128" i="30"/>
  <c r="G7" i="36"/>
  <c r="G12" i="34" s="1"/>
  <c r="I93" i="20" s="1"/>
  <c r="K12" i="35"/>
  <c r="I136" i="30"/>
  <c r="I51" i="37"/>
  <c r="I56" i="4" s="1"/>
  <c r="I91" i="20" s="1"/>
  <c r="M56" i="32"/>
  <c r="I134" i="30"/>
  <c r="I49" i="37"/>
  <c r="I54" i="4" s="1"/>
  <c r="I89" i="20" s="1"/>
  <c r="M54" i="32"/>
  <c r="I132" i="30"/>
  <c r="I47" i="37"/>
  <c r="I52" i="4" s="1"/>
  <c r="I87" i="20" s="1"/>
  <c r="M52" i="32"/>
  <c r="I130" i="30"/>
  <c r="I45" i="37"/>
  <c r="I50" i="4" s="1"/>
  <c r="I85" i="20" s="1"/>
  <c r="M50" i="32"/>
  <c r="I128" i="30"/>
  <c r="I43" i="37"/>
  <c r="I48" i="4" s="1"/>
  <c r="I83" i="20" s="1"/>
  <c r="M48" i="32"/>
  <c r="I126" i="30"/>
  <c r="I41" i="37"/>
  <c r="I46" i="4" s="1"/>
  <c r="I81" i="20" s="1"/>
  <c r="M46" i="32"/>
  <c r="I124" i="30"/>
  <c r="I39" i="37"/>
  <c r="I44" i="4" s="1"/>
  <c r="I79" i="20" s="1"/>
  <c r="M44" i="32"/>
  <c r="I122" i="30"/>
  <c r="H43" i="37"/>
  <c r="H48" i="4" s="1"/>
  <c r="H83" i="20" s="1"/>
  <c r="L48" i="32"/>
  <c r="H126" i="30"/>
  <c r="H39" i="37"/>
  <c r="H44" i="4" s="1"/>
  <c r="H79" i="20" s="1"/>
  <c r="L44" i="32"/>
  <c r="H122" i="30"/>
  <c r="I36" i="37"/>
  <c r="I41" i="4" s="1"/>
  <c r="I76" i="20" s="1"/>
  <c r="M41" i="32"/>
  <c r="I119" i="30"/>
  <c r="I34" i="37"/>
  <c r="I39" i="4" s="1"/>
  <c r="I74" i="20" s="1"/>
  <c r="M39" i="32"/>
  <c r="I117" i="30"/>
  <c r="I32" i="37"/>
  <c r="I37" i="4" s="1"/>
  <c r="I72" i="20" s="1"/>
  <c r="M37" i="32"/>
  <c r="I115" i="30"/>
  <c r="I30" i="37"/>
  <c r="I35" i="4" s="1"/>
  <c r="I70" i="20" s="1"/>
  <c r="M35" i="32"/>
  <c r="I113" i="30"/>
  <c r="I28" i="37"/>
  <c r="I33" i="4" s="1"/>
  <c r="I68" i="20" s="1"/>
  <c r="M33" i="32"/>
  <c r="I111" i="30"/>
  <c r="I26" i="37"/>
  <c r="I31" i="4" s="1"/>
  <c r="I66" i="20" s="1"/>
  <c r="M31" i="32"/>
  <c r="I109" i="30"/>
  <c r="I24" i="37"/>
  <c r="I29" i="4" s="1"/>
  <c r="I64" i="20" s="1"/>
  <c r="M29" i="32"/>
  <c r="I107" i="30"/>
  <c r="I22" i="37"/>
  <c r="I27" i="4" s="1"/>
  <c r="I62" i="20" s="1"/>
  <c r="M27" i="32"/>
  <c r="I105" i="30"/>
  <c r="I20" i="37"/>
  <c r="I25" i="4" s="1"/>
  <c r="I60" i="20" s="1"/>
  <c r="M25" i="32"/>
  <c r="I103" i="30"/>
  <c r="I18" i="37"/>
  <c r="I23" i="4" s="1"/>
  <c r="I58" i="20" s="1"/>
  <c r="M23" i="32"/>
  <c r="I101" i="30"/>
  <c r="I16" i="37"/>
  <c r="I21" i="4" s="1"/>
  <c r="I56" i="20" s="1"/>
  <c r="M21" i="32"/>
  <c r="I99" i="30"/>
  <c r="I14" i="37"/>
  <c r="I19" i="4" s="1"/>
  <c r="I54" i="20" s="1"/>
  <c r="M19" i="32"/>
  <c r="I97" i="30"/>
  <c r="I12" i="37"/>
  <c r="I17" i="4" s="1"/>
  <c r="I52" i="20" s="1"/>
  <c r="M17" i="32"/>
  <c r="I95" i="30"/>
  <c r="I10" i="37"/>
  <c r="I15" i="4" s="1"/>
  <c r="I50" i="20" s="1"/>
  <c r="M15" i="32"/>
  <c r="I93" i="30"/>
  <c r="I8" i="37"/>
  <c r="I13" i="4" s="1"/>
  <c r="I48" i="20" s="1"/>
  <c r="M13" i="32"/>
  <c r="I91" i="30"/>
  <c r="H30" i="31"/>
  <c r="H59" i="32"/>
  <c r="H30" i="30" s="1"/>
  <c r="H29" i="31"/>
  <c r="H58" i="32"/>
  <c r="H29" i="30" s="1"/>
  <c r="F43" i="37"/>
  <c r="F48" i="4" s="1"/>
  <c r="F83" i="20" s="1"/>
  <c r="J48" i="32"/>
  <c r="F126" i="30"/>
  <c r="F39" i="37"/>
  <c r="F44" i="4" s="1"/>
  <c r="F79" i="20" s="1"/>
  <c r="J44" i="32"/>
  <c r="F122" i="30"/>
  <c r="H36" i="37"/>
  <c r="H41" i="4" s="1"/>
  <c r="H76" i="20" s="1"/>
  <c r="L41" i="32"/>
  <c r="H119" i="30"/>
  <c r="H34" i="37"/>
  <c r="H39" i="4" s="1"/>
  <c r="H74" i="20" s="1"/>
  <c r="L39" i="32"/>
  <c r="H117" i="30"/>
  <c r="H32" i="37"/>
  <c r="H37" i="4" s="1"/>
  <c r="H72" i="20" s="1"/>
  <c r="L37" i="32"/>
  <c r="H115" i="30"/>
  <c r="H30" i="37"/>
  <c r="H35" i="4" s="1"/>
  <c r="H70" i="20" s="1"/>
  <c r="L35" i="32"/>
  <c r="H113" i="30"/>
  <c r="H28" i="37"/>
  <c r="H33" i="4" s="1"/>
  <c r="H68" i="20" s="1"/>
  <c r="L33" i="32"/>
  <c r="H111" i="30"/>
  <c r="H26" i="37"/>
  <c r="H31" i="4" s="1"/>
  <c r="H66" i="20" s="1"/>
  <c r="L31" i="32"/>
  <c r="H109" i="30"/>
  <c r="H24" i="37"/>
  <c r="H29" i="4" s="1"/>
  <c r="H64" i="20" s="1"/>
  <c r="L29" i="32"/>
  <c r="H107" i="30"/>
  <c r="H22" i="37"/>
  <c r="H27" i="4" s="1"/>
  <c r="H62" i="20" s="1"/>
  <c r="L27" i="32"/>
  <c r="H105" i="30"/>
  <c r="H20" i="37"/>
  <c r="H25" i="4" s="1"/>
  <c r="H60" i="20" s="1"/>
  <c r="L25" i="32"/>
  <c r="H103" i="30"/>
  <c r="H18" i="37"/>
  <c r="H23" i="4" s="1"/>
  <c r="H58" i="20" s="1"/>
  <c r="L23" i="32"/>
  <c r="H101" i="30"/>
  <c r="H16" i="37"/>
  <c r="H21" i="4" s="1"/>
  <c r="H56" i="20" s="1"/>
  <c r="L21" i="32"/>
  <c r="H99" i="30"/>
  <c r="H14" i="37"/>
  <c r="H19" i="4" s="1"/>
  <c r="H54" i="20" s="1"/>
  <c r="L19" i="32"/>
  <c r="H97" i="30"/>
  <c r="H12" i="37"/>
  <c r="H17" i="4" s="1"/>
  <c r="H52" i="20" s="1"/>
  <c r="L17" i="32"/>
  <c r="H95" i="30"/>
  <c r="H10" i="37"/>
  <c r="H15" i="4" s="1"/>
  <c r="H50" i="20" s="1"/>
  <c r="L15" i="32"/>
  <c r="H93" i="30"/>
  <c r="H8" i="37"/>
  <c r="H13" i="4" s="1"/>
  <c r="H48" i="20" s="1"/>
  <c r="L13" i="32"/>
  <c r="H91" i="30"/>
  <c r="I30" i="31"/>
  <c r="I59" i="32"/>
  <c r="I30" i="30" s="1"/>
  <c r="I29" i="31"/>
  <c r="I58" i="32"/>
  <c r="I29" i="30" s="1"/>
  <c r="G23" i="37"/>
  <c r="G28" i="4" s="1"/>
  <c r="G63" i="20" s="1"/>
  <c r="K28" i="32"/>
  <c r="G106" i="30"/>
  <c r="G19" i="37"/>
  <c r="G24" i="4" s="1"/>
  <c r="G59" i="20" s="1"/>
  <c r="K24" i="32"/>
  <c r="G102" i="30"/>
  <c r="G15" i="37"/>
  <c r="G20" i="4" s="1"/>
  <c r="G55" i="20" s="1"/>
  <c r="K20" i="32"/>
  <c r="G98" i="30"/>
  <c r="G11" i="37"/>
  <c r="G16" i="4" s="1"/>
  <c r="G51" i="20" s="1"/>
  <c r="K16" i="32"/>
  <c r="G94" i="30"/>
  <c r="T74" i="6"/>
  <c r="T73" i="6"/>
  <c r="T72" i="6"/>
  <c r="T71" i="6"/>
  <c r="T70" i="6"/>
  <c r="T69" i="6"/>
  <c r="T68" i="6"/>
  <c r="T67" i="6"/>
  <c r="G7" i="37"/>
  <c r="K12" i="32"/>
  <c r="G90" i="30"/>
  <c r="G31" i="31"/>
  <c r="G60" i="32"/>
  <c r="G31" i="30" s="1"/>
  <c r="K29" i="31" l="1"/>
  <c r="K58" i="32"/>
  <c r="K29" i="30" s="1"/>
  <c r="G60" i="37"/>
  <c r="G59" i="37"/>
  <c r="G58" i="37"/>
  <c r="G57" i="37"/>
  <c r="G56" i="37"/>
  <c r="G55" i="37"/>
  <c r="G58" i="4" s="1"/>
  <c r="G38" i="20"/>
  <c r="G54" i="37"/>
  <c r="G60" i="4" s="1"/>
  <c r="G53" i="37"/>
  <c r="G59" i="4" s="1"/>
  <c r="G37" i="20" s="1"/>
  <c r="G36" i="20"/>
  <c r="G12" i="4"/>
  <c r="G47" i="20" s="1"/>
  <c r="K31" i="31"/>
  <c r="K60" i="32"/>
  <c r="K31" i="30" s="1"/>
  <c r="F60" i="37"/>
  <c r="F59" i="37"/>
  <c r="F58" i="37"/>
  <c r="F57" i="37"/>
  <c r="F56" i="37"/>
  <c r="F55" i="37"/>
  <c r="F58" i="4" s="1"/>
  <c r="F36" i="20" s="1"/>
  <c r="F54" i="37"/>
  <c r="F60" i="4" s="1"/>
  <c r="F38" i="20" s="1"/>
  <c r="F53" i="37"/>
  <c r="F59" i="4" s="1"/>
  <c r="F37" i="20" s="1"/>
  <c r="F12" i="4"/>
  <c r="F47" i="20" s="1"/>
  <c r="J31" i="31"/>
  <c r="J60" i="32"/>
  <c r="J31" i="30" s="1"/>
  <c r="M30" i="31"/>
  <c r="M59" i="32"/>
  <c r="M30" i="30" s="1"/>
  <c r="M29" i="31"/>
  <c r="M58" i="32"/>
  <c r="M29" i="30" s="1"/>
  <c r="H60" i="37"/>
  <c r="H59" i="37"/>
  <c r="H58" i="37"/>
  <c r="H57" i="37"/>
  <c r="H56" i="37"/>
  <c r="H55" i="37"/>
  <c r="H58" i="4" s="1"/>
  <c r="H54" i="37"/>
  <c r="H60" i="4" s="1"/>
  <c r="H38" i="20" s="1"/>
  <c r="H53" i="37"/>
  <c r="H59" i="4" s="1"/>
  <c r="H37" i="20" s="1"/>
  <c r="H36" i="20"/>
  <c r="H12" i="4"/>
  <c r="H47" i="20" s="1"/>
  <c r="L31" i="31"/>
  <c r="L60" i="32"/>
  <c r="L31" i="30" s="1"/>
  <c r="K30" i="31"/>
  <c r="K59" i="32"/>
  <c r="K30" i="30" s="1"/>
  <c r="J30" i="31"/>
  <c r="J59" i="32"/>
  <c r="J30" i="30" s="1"/>
  <c r="J29" i="31"/>
  <c r="J58" i="32"/>
  <c r="J29" i="30" s="1"/>
  <c r="I60" i="37"/>
  <c r="I59" i="37"/>
  <c r="I58" i="37"/>
  <c r="I57" i="37"/>
  <c r="I56" i="37"/>
  <c r="I55" i="37"/>
  <c r="I58" i="4" s="1"/>
  <c r="I54" i="37"/>
  <c r="I60" i="4" s="1"/>
  <c r="I38" i="20" s="1"/>
  <c r="I53" i="37"/>
  <c r="I59" i="4" s="1"/>
  <c r="I37" i="20" s="1"/>
  <c r="I36" i="20"/>
  <c r="I12" i="4"/>
  <c r="I47" i="20" s="1"/>
  <c r="M31" i="31"/>
  <c r="M60" i="32"/>
  <c r="M31" i="30" s="1"/>
  <c r="L30" i="31"/>
  <c r="L59" i="32"/>
  <c r="L30" i="30" s="1"/>
  <c r="L29" i="31"/>
  <c r="L58" i="32"/>
  <c r="L29" i="30" s="1"/>
</calcChain>
</file>

<file path=xl/comments1.xml><?xml version="1.0" encoding="utf-8"?>
<comments xmlns="http://schemas.openxmlformats.org/spreadsheetml/2006/main">
  <authors>
    <author>RIVM</author>
  </authors>
  <commentList>
    <comment ref="D21" authorId="0">
      <text>
        <r>
          <rPr>
            <b/>
            <sz val="9"/>
            <color indexed="81"/>
            <rFont val="Tahoma"/>
            <charset val="1"/>
          </rPr>
          <t>RIVM:</t>
        </r>
        <r>
          <rPr>
            <sz val="9"/>
            <color indexed="81"/>
            <rFont val="Tahoma"/>
            <charset val="1"/>
          </rPr>
          <t xml:space="preserve">
original modelling used 75 boats, therefore no correction needed</t>
        </r>
      </text>
    </comment>
    <comment ref="D22" authorId="0">
      <text>
        <r>
          <rPr>
            <b/>
            <sz val="9"/>
            <color indexed="81"/>
            <rFont val="Tahoma"/>
            <charset val="1"/>
          </rPr>
          <t>RIVM:</t>
        </r>
        <r>
          <rPr>
            <sz val="9"/>
            <color indexed="81"/>
            <rFont val="Tahoma"/>
            <charset val="1"/>
          </rPr>
          <t xml:space="preserve">
original modelling used 218 boats, therefore no correction needed</t>
        </r>
      </text>
    </comment>
  </commentList>
</comments>
</file>

<file path=xl/comments2.xml><?xml version="1.0" encoding="utf-8"?>
<comments xmlns="http://schemas.openxmlformats.org/spreadsheetml/2006/main">
  <authors>
    <author>RIVM</author>
  </authors>
  <commentList>
    <comment ref="D21" authorId="0">
      <text>
        <r>
          <rPr>
            <b/>
            <sz val="9"/>
            <color indexed="81"/>
            <rFont val="Tahoma"/>
            <charset val="1"/>
          </rPr>
          <t>RIVM:</t>
        </r>
        <r>
          <rPr>
            <sz val="9"/>
            <color indexed="81"/>
            <rFont val="Tahoma"/>
            <charset val="1"/>
          </rPr>
          <t xml:space="preserve">
original modelling used 75 boats, therefore no correction needed</t>
        </r>
      </text>
    </comment>
    <comment ref="D22" authorId="0">
      <text>
        <r>
          <rPr>
            <b/>
            <sz val="9"/>
            <color indexed="81"/>
            <rFont val="Tahoma"/>
            <charset val="1"/>
          </rPr>
          <t>RIVM:</t>
        </r>
        <r>
          <rPr>
            <sz val="9"/>
            <color indexed="81"/>
            <rFont val="Tahoma"/>
            <charset val="1"/>
          </rPr>
          <t xml:space="preserve">
original modelling used 218 boats, therefore no correction needed</t>
        </r>
      </text>
    </comment>
  </commentList>
</comments>
</file>

<file path=xl/sharedStrings.xml><?xml version="1.0" encoding="utf-8"?>
<sst xmlns="http://schemas.openxmlformats.org/spreadsheetml/2006/main" count="1771" uniqueCount="258">
  <si>
    <t>Active Substance Parameters</t>
  </si>
  <si>
    <t>Compound Name</t>
  </si>
  <si>
    <t>-</t>
  </si>
  <si>
    <t>Aquatic</t>
  </si>
  <si>
    <t>Sediment</t>
  </si>
  <si>
    <t xml:space="preserve">Available at: http://echa.europa.eu/en/guidance-documents/guidance-on-biocides-legislation/emission-scenario-documents </t>
  </si>
  <si>
    <t>Version history</t>
  </si>
  <si>
    <t>ESD for PT 21: Emission scenarios for antifouling products in OECD countries (European Commission, DG Environment, 2004)</t>
  </si>
  <si>
    <t>INDEX</t>
  </si>
  <si>
    <t>Scenario</t>
  </si>
  <si>
    <t>Sceanrio Country | Code</t>
  </si>
  <si>
    <t>Substance</t>
  </si>
  <si>
    <t>DE</t>
  </si>
  <si>
    <t>NL</t>
  </si>
  <si>
    <t>Maximum</t>
  </si>
  <si>
    <t>Minimum</t>
  </si>
  <si>
    <t>Input</t>
  </si>
  <si>
    <t>Variable/parameter</t>
  </si>
  <si>
    <t>Symbol</t>
  </si>
  <si>
    <t>Value</t>
  </si>
  <si>
    <t>Unit</t>
  </si>
  <si>
    <t>References / Calculation formulas / Explanations</t>
  </si>
  <si>
    <t>ISO mass-balance calculation method</t>
  </si>
  <si>
    <r>
      <t>S/D/O/P</t>
    </r>
    <r>
      <rPr>
        <vertAlign val="superscript"/>
        <sz val="11"/>
        <color rgb="FF0070C0"/>
        <rFont val="Verdana"/>
        <family val="2"/>
      </rPr>
      <t xml:space="preserve"> 1</t>
    </r>
  </si>
  <si>
    <t>Percentage of biocide that is released from the paint film during the lifetime of the paint</t>
  </si>
  <si>
    <r>
      <t>L</t>
    </r>
    <r>
      <rPr>
        <i/>
        <vertAlign val="subscript"/>
        <sz val="10"/>
        <color theme="1"/>
        <rFont val="Verdana"/>
        <family val="2"/>
      </rPr>
      <t>a</t>
    </r>
  </si>
  <si>
    <t>a</t>
  </si>
  <si>
    <r>
      <rPr>
        <i/>
        <sz val="10"/>
        <color theme="1"/>
        <rFont val="Verdana"/>
        <family val="2"/>
      </rPr>
      <t>W</t>
    </r>
    <r>
      <rPr>
        <i/>
        <vertAlign val="subscript"/>
        <sz val="10"/>
        <color theme="1"/>
        <rFont val="Verdana"/>
        <family val="2"/>
      </rPr>
      <t>a</t>
    </r>
  </si>
  <si>
    <t>Mass fraction of biocide in the biocidal ingredient</t>
  </si>
  <si>
    <t>Content of biocidal ingredient in the paint formulation as manufactured</t>
  </si>
  <si>
    <t>% by mass</t>
  </si>
  <si>
    <t xml:space="preserve">Density of the paint as manufactured </t>
  </si>
  <si>
    <t>ƿ</t>
  </si>
  <si>
    <t>DFT</t>
  </si>
  <si>
    <t>VS</t>
  </si>
  <si>
    <t>t</t>
  </si>
  <si>
    <t>Output</t>
  </si>
  <si>
    <r>
      <t>M</t>
    </r>
    <r>
      <rPr>
        <i/>
        <vertAlign val="subscript"/>
        <sz val="10"/>
        <color theme="1"/>
        <rFont val="Verdana"/>
        <family val="2"/>
      </rPr>
      <t>rel</t>
    </r>
  </si>
  <si>
    <t xml:space="preserve">_
R
</t>
  </si>
  <si>
    <t>Dry film thickness specified for the lifetime of the paint</t>
  </si>
  <si>
    <t>Lifetime of the antifouling paint</t>
  </si>
  <si>
    <t>Months</t>
  </si>
  <si>
    <t>% by volume</t>
  </si>
  <si>
    <t>Estimated total mass of biocde released per unit area of paint film over the lifetime of the paint</t>
  </si>
  <si>
    <t>Average biocide release rate over the lifetime of the paint</t>
  </si>
  <si>
    <t>%</t>
  </si>
  <si>
    <t>O</t>
  </si>
  <si>
    <t>D/S</t>
  </si>
  <si>
    <t>S</t>
  </si>
  <si>
    <t>Calculation of leaching rate conversion</t>
  </si>
  <si>
    <t>Conversion Factor</t>
  </si>
  <si>
    <t>Measured Leaching Rate</t>
  </si>
  <si>
    <t>Leaching Rate: Product Specific</t>
  </si>
  <si>
    <t>0= Measured Value| 1= Calculated Value</t>
  </si>
  <si>
    <t>Measured Value</t>
  </si>
  <si>
    <t>Calculated Value</t>
  </si>
  <si>
    <t>Background Concentration</t>
  </si>
  <si>
    <t>Surface Water</t>
  </si>
  <si>
    <t>PNEC Values</t>
  </si>
  <si>
    <t>User Input Values</t>
  </si>
  <si>
    <t xml:space="preserve">PEC:PNEC SW inside marina 
</t>
  </si>
  <si>
    <t xml:space="preserve">PEC:PNEC Sed inside marina 
</t>
  </si>
  <si>
    <t xml:space="preserve">PEC:PNEC SW surrounding marina 
</t>
  </si>
  <si>
    <t xml:space="preserve">PEC:PNEC Sed surrounding marina 
</t>
  </si>
  <si>
    <t>Atlantic Scenario Average PEC  values and Risk Characterisation</t>
  </si>
  <si>
    <t>Average biocide release over the lifetime of the paint</t>
  </si>
  <si>
    <t>Leave Blank if no measured Value</t>
  </si>
  <si>
    <t>Application Factor</t>
  </si>
  <si>
    <t>Calculation of Application conversion</t>
  </si>
  <si>
    <t>Leaching Rate considered within default MAMPEC calculations</t>
  </si>
  <si>
    <t>User Selected Value</t>
  </si>
  <si>
    <t>Inside Marina</t>
  </si>
  <si>
    <t>Surrounding Marina</t>
  </si>
  <si>
    <t xml:space="preserve">PECsw inside marina 
(average, dissolved, ug/l)
</t>
  </si>
  <si>
    <t xml:space="preserve">PECsw surrounding marina
(average, disolved, ug/l)
</t>
  </si>
  <si>
    <t>Application factor considered within default MAMPEC calculations</t>
  </si>
  <si>
    <t>Boat Number</t>
  </si>
  <si>
    <t>Draft 1.0</t>
  </si>
  <si>
    <t>Summary of  Risk Characterisation Calculations</t>
  </si>
  <si>
    <t>Active Substance</t>
  </si>
  <si>
    <t>PEC Tool Version</t>
  </si>
  <si>
    <t>PEC Values</t>
  </si>
  <si>
    <t>PEC/PNEC Ratios</t>
  </si>
  <si>
    <t>Atlantic Scenario| Risk Characterisation</t>
  </si>
  <si>
    <t>90th Percentile Value</t>
  </si>
  <si>
    <t>90th Percentile</t>
  </si>
  <si>
    <t>Output: Summary</t>
  </si>
  <si>
    <t>Output: Full</t>
  </si>
  <si>
    <t xml:space="preserve">PNEC Values </t>
  </si>
  <si>
    <t>Leaching Rate</t>
  </si>
  <si>
    <t>Product Specific</t>
  </si>
  <si>
    <t>Values greater than 1 are in bold text.</t>
  </si>
  <si>
    <t>Introduction</t>
  </si>
  <si>
    <t>Instructions</t>
  </si>
  <si>
    <t>User_Input</t>
  </si>
  <si>
    <t>Output_Summary</t>
  </si>
  <si>
    <t>90th percentile</t>
  </si>
  <si>
    <t>80th percentile</t>
  </si>
  <si>
    <t>75th percentile</t>
  </si>
  <si>
    <t>50th percentile</t>
  </si>
  <si>
    <t>25th percentile</t>
  </si>
  <si>
    <t>10th percentile</t>
  </si>
  <si>
    <t>This workbook provides a calculation tool for estimating the environmental releases from the use of biocides used as antifouling products. It consists of number of spreadsheets, covering the emission scenarios described in the Emission Scenario Document (below). 
This is not a standalone document. It is a calculation tool and it should be used in combination with the ESD, which contains the background information that needs to be taken into account in order to correctly use this spreadsheet.</t>
  </si>
  <si>
    <t>Environmental Emission Scenarios for Product Type 21: Biocides used as antifouling products</t>
  </si>
  <si>
    <t>OECD Marina Scenario Average PEC  values and Risk Characterisation</t>
  </si>
  <si>
    <t>OECD Marina Scenario| Risk Characterisation</t>
  </si>
  <si>
    <t>Freshwater marina 1</t>
  </si>
  <si>
    <t>AT</t>
  </si>
  <si>
    <t>Freshwater marina 2</t>
  </si>
  <si>
    <t>Freshwater marina 3</t>
  </si>
  <si>
    <t>Freshwater marina 4</t>
  </si>
  <si>
    <t>Freshwater marina 5</t>
  </si>
  <si>
    <t>Freshwater marina 6</t>
  </si>
  <si>
    <t>Freshwater marina 7</t>
  </si>
  <si>
    <t>Freshwater marina 9</t>
  </si>
  <si>
    <t>CH</t>
  </si>
  <si>
    <t>Freshwater marina 10</t>
  </si>
  <si>
    <t>Freshwater marina 12</t>
  </si>
  <si>
    <t>Freshwater marina 13</t>
  </si>
  <si>
    <t>Freshwater marina 18</t>
  </si>
  <si>
    <t>Freshwater marina 19</t>
  </si>
  <si>
    <t>Freshwater marina 20</t>
  </si>
  <si>
    <t>21-1</t>
  </si>
  <si>
    <t>Freshwater marina 21</t>
  </si>
  <si>
    <t>22-1</t>
  </si>
  <si>
    <t>Freshwater marina 22</t>
  </si>
  <si>
    <t>43-1</t>
  </si>
  <si>
    <t>Freshwater marina 23</t>
  </si>
  <si>
    <t>49-1</t>
  </si>
  <si>
    <t>Freshwater marina 24</t>
  </si>
  <si>
    <t>19-1</t>
  </si>
  <si>
    <t>Freshwater marina 25</t>
  </si>
  <si>
    <t>45-1</t>
  </si>
  <si>
    <t>Freshwater marina 26</t>
  </si>
  <si>
    <t>33-1</t>
  </si>
  <si>
    <t>Freshwater marina 27</t>
  </si>
  <si>
    <t>46-1</t>
  </si>
  <si>
    <t>Freshwater marina 28</t>
  </si>
  <si>
    <t>50-1</t>
  </si>
  <si>
    <t>Freshwater marina 29</t>
  </si>
  <si>
    <t>38-1</t>
  </si>
  <si>
    <t>Freshwater marina 30</t>
  </si>
  <si>
    <t>Freshwater marina 31</t>
  </si>
  <si>
    <t>Freshwater marina 32</t>
  </si>
  <si>
    <t>Freshwater marina 34</t>
  </si>
  <si>
    <t>Freshwater marina 35</t>
  </si>
  <si>
    <t>Freshwater marina 36</t>
  </si>
  <si>
    <t>Freshwater marina 37</t>
  </si>
  <si>
    <t>Freshwater marina 38</t>
  </si>
  <si>
    <t>Freshwater marina 39</t>
  </si>
  <si>
    <t>Freshwater marina 40</t>
  </si>
  <si>
    <t>Freshwater marina 41</t>
  </si>
  <si>
    <t>Freshwater marina 42</t>
  </si>
  <si>
    <t>Freshwater marina 43</t>
  </si>
  <si>
    <t>Freshwater marina 44</t>
  </si>
  <si>
    <t>Freshwater marina 45</t>
  </si>
  <si>
    <t>Freshwater marina 46</t>
  </si>
  <si>
    <t>Freshwater marina 47</t>
  </si>
  <si>
    <t>Freshwater marina 48</t>
  </si>
  <si>
    <t>Freshwater marina 49</t>
  </si>
  <si>
    <t>UK</t>
  </si>
  <si>
    <t>Freshwater marina 50</t>
  </si>
  <si>
    <t>Freshwater marina 51</t>
  </si>
  <si>
    <t>Freshwater marina 52</t>
  </si>
  <si>
    <t>Freshwater marina 53</t>
  </si>
  <si>
    <t>Freshwater</t>
  </si>
  <si>
    <r>
      <t>µg cm</t>
    </r>
    <r>
      <rPr>
        <vertAlign val="superscript"/>
        <sz val="10"/>
        <color theme="1"/>
        <rFont val="Verdana"/>
        <family val="2"/>
      </rPr>
      <t xml:space="preserve">-2 </t>
    </r>
    <r>
      <rPr>
        <sz val="10"/>
        <color theme="1"/>
        <rFont val="Verdana"/>
        <family val="2"/>
      </rPr>
      <t>d</t>
    </r>
    <r>
      <rPr>
        <vertAlign val="superscript"/>
        <sz val="10"/>
        <color theme="1"/>
        <rFont val="Verdana"/>
        <family val="2"/>
      </rPr>
      <t>-1</t>
    </r>
  </si>
  <si>
    <t>µm</t>
  </si>
  <si>
    <r>
      <t>kg dm</t>
    </r>
    <r>
      <rPr>
        <vertAlign val="superscript"/>
        <sz val="10"/>
        <color theme="1"/>
        <rFont val="Verdana"/>
        <family val="2"/>
      </rPr>
      <t>-3</t>
    </r>
    <r>
      <rPr>
        <sz val="10"/>
        <color theme="1"/>
        <rFont val="Verdana"/>
        <family val="2"/>
      </rPr>
      <t xml:space="preserve"> (g cm</t>
    </r>
    <r>
      <rPr>
        <vertAlign val="superscript"/>
        <sz val="10"/>
        <color theme="1"/>
        <rFont val="Verdana"/>
        <family val="2"/>
      </rPr>
      <t>-3</t>
    </r>
    <r>
      <rPr>
        <sz val="10"/>
        <color theme="1"/>
        <rFont val="Verdana"/>
        <family val="2"/>
      </rPr>
      <t>)</t>
    </r>
  </si>
  <si>
    <t>µg/l</t>
  </si>
  <si>
    <t>µg/g dw</t>
  </si>
  <si>
    <r>
      <t>µg cm</t>
    </r>
    <r>
      <rPr>
        <vertAlign val="superscript"/>
        <sz val="10"/>
        <color theme="1"/>
        <rFont val="Verdana"/>
        <family val="2"/>
      </rPr>
      <t>-2</t>
    </r>
  </si>
  <si>
    <t>OECD Swiss marina-adapted</t>
  </si>
  <si>
    <t>NL national marina</t>
  </si>
  <si>
    <t>Surface Water (µg/l)</t>
  </si>
  <si>
    <t>Sediment
(µg/g dw)</t>
  </si>
  <si>
    <t xml:space="preserve">PECsw inside marina 
(average, dissolved, µg/l)
</t>
  </si>
  <si>
    <t xml:space="preserve">PECsw surrounding marina
(average, disolved, µg/l)
</t>
  </si>
  <si>
    <t xml:space="preserve">PNECsed Surrounding Marina
(µg/g dw)
</t>
  </si>
  <si>
    <t xml:space="preserve">PNECsw Surrounding Marina 
(µg/l)
</t>
  </si>
  <si>
    <t xml:space="preserve">PNECsed Inside Marina 
(µg/g dw)
</t>
  </si>
  <si>
    <t xml:space="preserve">PNECsw Inside Marina 
(µg/l)
</t>
  </si>
  <si>
    <r>
      <t>µg cm</t>
    </r>
    <r>
      <rPr>
        <vertAlign val="superscript"/>
        <sz val="10"/>
        <color theme="1"/>
        <rFont val="Verdana"/>
        <family val="2"/>
      </rPr>
      <t>-2</t>
    </r>
    <r>
      <rPr>
        <sz val="10"/>
        <color theme="1"/>
        <rFont val="Verdana"/>
        <family val="2"/>
      </rPr>
      <t xml:space="preserve"> d</t>
    </r>
    <r>
      <rPr>
        <vertAlign val="superscript"/>
        <sz val="10"/>
        <color theme="1"/>
        <rFont val="Verdana"/>
        <family val="2"/>
      </rPr>
      <t>-1</t>
    </r>
  </si>
  <si>
    <t xml:space="preserve">Instructions for use of the PT21 Freshwater PEC tool </t>
  </si>
  <si>
    <t>Volume Solids content
(Volume of dry paint film versus volume of pain as manufactured)</t>
  </si>
  <si>
    <t>Freshwater Scenario</t>
  </si>
  <si>
    <t>Code</t>
  </si>
  <si>
    <t>Scenario Country</t>
  </si>
  <si>
    <t xml:space="preserve">MAMPEC-100_Boat PECsw surrounding marina
(average, disolved, µg/l)
</t>
  </si>
  <si>
    <t xml:space="preserve"> PNECsed Surrounding Marina
(µg/g dw)
</t>
  </si>
  <si>
    <t>Active_Substance_Input_Parameters</t>
  </si>
  <si>
    <t>Output EU marinas</t>
  </si>
  <si>
    <t>OECD_Marina_Calculations</t>
  </si>
  <si>
    <t>Output_Regulatory Marinas</t>
  </si>
  <si>
    <t>EU_Marinas_Scenario_Calculations</t>
  </si>
  <si>
    <t xml:space="preserve">Σ PEC:PNEC SW inside marina 
</t>
  </si>
  <si>
    <t>Σ PEC:PNEC
SW
surrounding marina</t>
  </si>
  <si>
    <t>Σ PEC:PNEC
Sed
surrounding marina</t>
  </si>
  <si>
    <t xml:space="preserve">Σ PEC:PNEC
SW
inside marina
</t>
  </si>
  <si>
    <t xml:space="preserve">Σ PEC:PNEC
Sed
inside marina
</t>
  </si>
  <si>
    <t>Regulatory Marinas Risk Characterisation</t>
  </si>
  <si>
    <t>Copper</t>
  </si>
  <si>
    <t xml:space="preserve">PNECsw Inside Marina (µg/l)
</t>
  </si>
  <si>
    <t xml:space="preserve">PNECsed Inside Marina (µg/g dw)
</t>
  </si>
  <si>
    <t xml:space="preserve">PNECsw Surrounding Marina (µg/l)
</t>
  </si>
  <si>
    <t xml:space="preserve">PNECsed Surrounding Marina (µg/g dw)
</t>
  </si>
  <si>
    <t>PNECsed Surrounding Marina (µg/g dw)</t>
  </si>
  <si>
    <t>PNECsw Surrounding Marina (µg/l)</t>
  </si>
  <si>
    <t xml:space="preserve">PECsed inside marina
susp. 
(average, ug/g dw)
</t>
  </si>
  <si>
    <t xml:space="preserve">PECsed surrounding marina
susp. 
(average, ug/g dw)
</t>
  </si>
  <si>
    <t xml:space="preserve">PEC:PNEC 
SW 
inside marina 
</t>
  </si>
  <si>
    <t xml:space="preserve">PEC:PNEC
Sed 
inside marina 
</t>
  </si>
  <si>
    <t xml:space="preserve">PEC:PNEC
SW surrounding marina 
</t>
  </si>
  <si>
    <t xml:space="preserve">PEC:PNEC
Sed surrounding marina 
</t>
  </si>
  <si>
    <t xml:space="preserve">PEC:PNEC Susp. inside marina 
</t>
  </si>
  <si>
    <t xml:space="preserve">PEC:PNEC SW surrounding marina 
</t>
  </si>
  <si>
    <t xml:space="preserve">PEC:PNEC Susp. surrounding marina
</t>
  </si>
  <si>
    <t xml:space="preserve">Σ PEC:PNEC Susp.
inside marina 
</t>
  </si>
  <si>
    <t xml:space="preserve">Σ PEC:PNEC Susp.
surrounding marina 
</t>
  </si>
  <si>
    <t xml:space="preserve">PECsw inside marina
(average, 
dissolved, µg/l)
</t>
  </si>
  <si>
    <t xml:space="preserve">PECsusp inside 
marina
(average,
 µg/g dw)
</t>
  </si>
  <si>
    <t xml:space="preserve">
PECsw surrounding
marina
(average,
dissolved, µg/l)
</t>
  </si>
  <si>
    <t xml:space="preserve">
PECsusp surrounding
marina
(average,
µg/g dw)
</t>
  </si>
  <si>
    <t xml:space="preserve">
Σ PEC:PNEC SW surrounding marina 
</t>
  </si>
  <si>
    <t>Freshwater calculator tool</t>
  </si>
  <si>
    <r>
      <rPr>
        <b/>
        <sz val="10"/>
        <color theme="1"/>
        <rFont val="Verdana"/>
        <family val="2"/>
      </rPr>
      <t>Reference document:</t>
    </r>
    <r>
      <rPr>
        <sz val="10"/>
        <color theme="1"/>
        <rFont val="Verdana"/>
        <family val="2"/>
      </rPr>
      <t xml:space="preserve"> </t>
    </r>
  </si>
  <si>
    <t>Created; based on PT21_PEC_Marine_Tool_Copper_AND_Thiocyanate_v1.0.xlsx. Formatting updated. Added conversion factor for possible future update of wet surface area. Application factor and conversion factor defined only once. Parameter names changed/added: measured and calculated Average biocide release over the lifetime of the paint. Tooltype added.</t>
  </si>
  <si>
    <r>
      <t>m</t>
    </r>
    <r>
      <rPr>
        <vertAlign val="superscript"/>
        <sz val="10"/>
        <color theme="1"/>
        <rFont val="Verdana"/>
        <family val="2"/>
      </rPr>
      <t xml:space="preserve">2 </t>
    </r>
    <r>
      <rPr>
        <b/>
        <sz val="10"/>
        <color theme="1"/>
        <rFont val="Verdana"/>
        <family val="2"/>
      </rPr>
      <t xml:space="preserve"> Default; do not change</t>
    </r>
  </si>
  <si>
    <t xml:space="preserve">MAMPEC-100_Boat
 PECsw inside marina 
(average, dissolved, µg/l)
</t>
  </si>
  <si>
    <t xml:space="preserve">MAMPEC-100_Boat
PECsusp. inside marina 
(average, 
µg/g dw)
</t>
  </si>
  <si>
    <t xml:space="preserve">MAMPEC-100_Boat PECsusp. surrounding
(average, 
µg/g dw)
</t>
  </si>
  <si>
    <t xml:space="preserve">PECsed inside marina
(average, 
µg/g dw)
</t>
  </si>
  <si>
    <t xml:space="preserve">PECsed surrounding
marina
(average, 
µg/g dw)
</t>
  </si>
  <si>
    <t>Copper and pyrithione</t>
  </si>
  <si>
    <t>Do not alter; enter this parameter only in tab C_User_Input</t>
  </si>
  <si>
    <t>Pyrithione</t>
  </si>
  <si>
    <t>Draft 2.0</t>
  </si>
  <si>
    <t>in the Tab C+P Output Summary the references to the regulatory marina PNECs are corrected and references to 90th percentile, max and min are corrected; in the C+P Output EU Marinas Tab the 90th percentile results are place above the Max outcomes</t>
  </si>
  <si>
    <t>Final 1.0</t>
  </si>
  <si>
    <r>
      <t>Default value for wetted surface area for freshwater pleasure craft was added (22.0 m</t>
    </r>
    <r>
      <rPr>
        <vertAlign val="superscript"/>
        <sz val="10"/>
        <color theme="1"/>
        <rFont val="Verdana"/>
        <family val="2"/>
      </rPr>
      <t>2</t>
    </r>
    <r>
      <rPr>
        <sz val="10"/>
        <color theme="1"/>
        <rFont val="Verdana"/>
        <family val="2"/>
      </rPr>
      <t>) in 'EU_Marinas_Sscenario_Calc' tab; not in Regulatory_Scenarios_Calc' tab. Application of WetSurfaceArea_ConversionFactor applied to PEC values in 'EU_Marinas_Scenario_Calc' tab. Tabs EU_Marinas_Scenario_Calc and Regulatory_Marinas_Calc are now hidden (Format/Sheet/Hide (Unhide)). Text was added to the tab 'Instructions'. Some minor editorial changes were performed.</t>
    </r>
  </si>
  <si>
    <t>Users should consult the PT21 Product Authorisation Manual before using this tool.  The manual contains important background information on the development of the underlying scenarios and further detailed information on the approaches to take when using this tool for the purposes of first tier exposure assessments.  The information below represents a simple step-by-step guide to running the tool correctly.</t>
  </si>
  <si>
    <t>All inputs should be entered into the separate 'User_Input' worksheet only.  This can be accessed via the 'User_Input' tab at the bottom of the page.  No other worksheets need to be amended.</t>
  </si>
  <si>
    <t>The 'User_Input' worksheet is pre-populated with EU agreed PNEC values (see cells C12:D13).  These should only be amended when running refined higher tier simulations and when fully supported by additional data.</t>
  </si>
  <si>
    <t>Users should note that some tools have been created to calculate exposure levels from more than one substance.  This applies to the copper pyrithione and copper thiocyanate tools.  In addition the zineb tool includes calculation of exposure from the metabolite DIDT.  These tools have separate 'User_input' worksheets for each substance that can be accessed via the separate tabs and must be used to enter the relevant substance specific information.</t>
  </si>
  <si>
    <t xml:space="preserve">The inputs on Application Factor and leaching rate are all that are required for the tool to perform the required calculations.  The tool then uses this information to perform simple linear corrections to MAMPEC v3.1 model outputs that have been previously generated using default Application Factors and leaching rates and used to pre-populate the spreadsheet.  </t>
  </si>
  <si>
    <t xml:space="preserve">The 'Active_Substance_Input' tab can be selected to view a summary of the substance specific input parameters that were used in running the original MAMPEC 3.1 simulations that are used in the underlying worksheet calculations.  These represent EU endpoints agreed during the substance approvals stage.  The outputs from the tool will be based on these substance properties and the user inputted Application Factor and leaching rate for each product. </t>
  </si>
  <si>
    <t xml:space="preserve">Scenario specific outputs can be viewed by selecting the relevant named tabs 'Output_EU_marinas' and 'Output_Regulatory_Marinas'.  These separate output worksheet tabs automatically colour code any PEC:PNEC ratio exceeding 1 in red shading whilst those scenarios with PEC:PNEC ratios below 1 will be shaded green.   </t>
  </si>
  <si>
    <t xml:space="preserve">A summary of outputs from all scenarios is also provided in the 'Output_Summary' tab.  This can be copied and pasted into individual Product Assessment Reports to ensure consistency of reporting of outputs of the first tier exposure assessments. </t>
  </si>
  <si>
    <t>For products containing more than one active substance or containing Substances of Concern a mixture assessment will need to be performed.  Users should consult the Product Authorisation Manual and use the additional 'Multiple_Substance_RQ' Excel tool to facilitate these calculations.</t>
  </si>
  <si>
    <t>Calculation of Wetted Surface Area conversion</t>
  </si>
  <si>
    <t>New Default value WSA freshwater pleasure craft</t>
  </si>
  <si>
    <t>Wetted surface area considered within default calculations</t>
  </si>
  <si>
    <t xml:space="preserve">First, the user should select an appropriate Application Factor in cell H7.  The Application Factor determines the fraction of vessels assumed to be treated with the product.  For the purposes of a first tier assessment, an Application Factor of 0.95 should be selected for copper and 0.90 for all other substances, including copper+thiocyanate and copper+pyrithione. </t>
  </si>
  <si>
    <t xml:space="preserve">Next the user should enter information on the leaching rate.  There are two options.  Where a measured product specific leaching rate is available this should be entered directly into cell H11 (in µg cm-2 d-1).  The tool will preferentially use a measured leaching rate when one is entered.  If no measured data is available cell H11 must be left blank. </t>
  </si>
  <si>
    <t xml:space="preserve">In the absence of measured data on the leaching rate, the tool can be used to run the ISO mass-balance calculation method to determine a conservative estimate of long term leaching.  The variables for the ISO mass-balance method should be entered into cells I21:I27, taking care to use the correct units for each variable.  The sheet will estimate the long term release rate in cell I30 and use this in all subsequent calculations (provided cell H11 is left blank).  </t>
  </si>
  <si>
    <t>Final 1.1</t>
  </si>
  <si>
    <t>Pyrithione output statistics corrected to report pyrithione values (original reported copper values). No underlying calculations altered.
Regulatory marina calculations corrected to reflect raw data used 75 (Siwss) and 218 (NL) boats so no correction needed.  No other underlying calculations altered.</t>
  </si>
  <si>
    <t>Version Final 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</si>
</sst>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0"/>
      <color theme="1"/>
      <name val="Verdana"/>
      <family val="2"/>
    </font>
    <font>
      <sz val="11"/>
      <color theme="1"/>
      <name val="Calibri"/>
      <family val="2"/>
      <scheme val="minor"/>
    </font>
    <font>
      <b/>
      <sz val="13"/>
      <color theme="3"/>
      <name val="Calibri"/>
      <family val="2"/>
      <scheme val="minor"/>
    </font>
    <font>
      <b/>
      <sz val="11"/>
      <color theme="1"/>
      <name val="Calibri"/>
      <family val="2"/>
      <scheme val="minor"/>
    </font>
    <font>
      <sz val="11"/>
      <color theme="1"/>
      <name val="Calibri"/>
      <family val="2"/>
    </font>
    <font>
      <sz val="10"/>
      <color theme="1"/>
      <name val="Verdana"/>
      <family val="2"/>
    </font>
    <font>
      <sz val="10"/>
      <color rgb="FF3F3F76"/>
      <name val="Verdana"/>
      <family val="2"/>
    </font>
    <font>
      <b/>
      <sz val="10"/>
      <color rgb="FF3F3F3F"/>
      <name val="Verdana"/>
      <family val="2"/>
    </font>
    <font>
      <sz val="12"/>
      <color theme="1"/>
      <name val="Verdana"/>
      <family val="2"/>
    </font>
    <font>
      <b/>
      <sz val="12"/>
      <color theme="0"/>
      <name val="Calibri"/>
      <family val="2"/>
      <scheme val="minor"/>
    </font>
    <font>
      <u/>
      <sz val="10"/>
      <color theme="10"/>
      <name val="Verdana"/>
      <family val="2"/>
    </font>
    <font>
      <b/>
      <sz val="15"/>
      <color theme="3"/>
      <name val="Verdana"/>
      <family val="2"/>
    </font>
    <font>
      <b/>
      <sz val="11"/>
      <color theme="3"/>
      <name val="Verdana"/>
      <family val="2"/>
    </font>
    <font>
      <sz val="10"/>
      <name val="Arial"/>
      <family val="2"/>
    </font>
    <font>
      <b/>
      <sz val="10"/>
      <color rgb="FFFA7D00"/>
      <name val="Verdana"/>
      <family val="2"/>
    </font>
    <font>
      <u/>
      <sz val="12"/>
      <color theme="10"/>
      <name val="Verdana"/>
      <family val="2"/>
    </font>
    <font>
      <b/>
      <sz val="14"/>
      <color theme="0"/>
      <name val="Verdana"/>
      <family val="2"/>
    </font>
    <font>
      <b/>
      <sz val="12"/>
      <color rgb="FFFFC000"/>
      <name val="Verdana"/>
      <family val="2"/>
    </font>
    <font>
      <sz val="11"/>
      <color theme="1"/>
      <name val="Verdana"/>
      <family val="2"/>
    </font>
    <font>
      <sz val="10"/>
      <name val="Verdana"/>
      <family val="2"/>
    </font>
    <font>
      <b/>
      <sz val="12"/>
      <color rgb="FFEFB011"/>
      <name val="Verdana"/>
      <family val="2"/>
    </font>
    <font>
      <vertAlign val="superscript"/>
      <sz val="11"/>
      <color rgb="FF0070C0"/>
      <name val="Verdana"/>
      <family val="2"/>
    </font>
    <font>
      <i/>
      <sz val="10"/>
      <color theme="1"/>
      <name val="Verdana"/>
      <family val="2"/>
    </font>
    <font>
      <i/>
      <vertAlign val="subscript"/>
      <sz val="10"/>
      <color theme="1"/>
      <name val="Verdana"/>
      <family val="2"/>
    </font>
    <font>
      <vertAlign val="superscript"/>
      <sz val="10"/>
      <color theme="1"/>
      <name val="Verdana"/>
      <family val="2"/>
    </font>
    <font>
      <i/>
      <sz val="10"/>
      <color theme="1"/>
      <name val="Calibri"/>
      <family val="2"/>
    </font>
    <font>
      <b/>
      <sz val="10"/>
      <color theme="1"/>
      <name val="Verdana"/>
      <family val="2"/>
    </font>
    <font>
      <b/>
      <sz val="15"/>
      <color theme="3"/>
      <name val="Calibri"/>
      <family val="2"/>
      <scheme val="minor"/>
    </font>
    <font>
      <sz val="11"/>
      <color theme="0" tint="-4.9989318521683403E-2"/>
      <name val="Verdana"/>
      <family val="2"/>
    </font>
    <font>
      <b/>
      <u/>
      <sz val="10"/>
      <color theme="1"/>
      <name val="Verdana"/>
      <family val="2"/>
    </font>
    <font>
      <sz val="10"/>
      <color rgb="FF0070C0"/>
      <name val="Verdana"/>
      <family val="2"/>
    </font>
    <font>
      <sz val="9"/>
      <color rgb="FF006100"/>
      <name val="Arial"/>
      <family val="2"/>
    </font>
    <font>
      <sz val="16"/>
      <color theme="1"/>
      <name val="Verdana"/>
      <family val="2"/>
    </font>
    <font>
      <sz val="9"/>
      <color indexed="81"/>
      <name val="Tahoma"/>
      <charset val="1"/>
    </font>
    <font>
      <b/>
      <sz val="9"/>
      <color indexed="81"/>
      <name val="Tahoma"/>
      <charset val="1"/>
    </font>
  </fonts>
  <fills count="18">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theme="0"/>
        <bgColor indexed="64"/>
      </patternFill>
    </fill>
    <fill>
      <patternFill patternType="solid">
        <fgColor rgb="FFEFB011"/>
        <bgColor indexed="64"/>
      </patternFill>
    </fill>
    <fill>
      <patternFill patternType="solid">
        <fgColor rgb="FF0070C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8" tint="0.39994506668294322"/>
        <bgColor indexed="64"/>
      </patternFill>
    </fill>
    <fill>
      <patternFill patternType="lightTrellis">
        <fgColor theme="0"/>
        <bgColor rgb="FFFFC000"/>
      </patternFill>
    </fill>
    <fill>
      <patternFill patternType="gray0625">
        <fgColor theme="8" tint="0.79992065187536243"/>
        <bgColor theme="4" tint="0.79989013336588644"/>
      </patternFill>
    </fill>
    <fill>
      <patternFill patternType="solid">
        <fgColor theme="7" tint="0.79998168889431442"/>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rgb="FFC6EFCE"/>
      </patternFill>
    </fill>
  </fills>
  <borders count="23">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1">
    <xf numFmtId="0" fontId="0" fillId="5" borderId="0"/>
    <xf numFmtId="0" fontId="11" fillId="0" borderId="1" applyNumberFormat="0" applyFill="0" applyAlignment="0" applyProtection="0"/>
    <xf numFmtId="0" fontId="2" fillId="0" borderId="2" applyNumberFormat="0" applyFill="0" applyAlignment="0" applyProtection="0"/>
    <xf numFmtId="0" fontId="12" fillId="0" borderId="0" applyNumberFormat="0" applyFill="0" applyBorder="0" applyAlignment="0" applyProtection="0"/>
    <xf numFmtId="0" fontId="6" fillId="2" borderId="3" applyNumberFormat="0" applyAlignment="0" applyProtection="0"/>
    <xf numFmtId="0" fontId="7" fillId="3" borderId="4" applyNumberFormat="0" applyAlignment="0" applyProtection="0"/>
    <xf numFmtId="0" fontId="14" fillId="3" borderId="3" applyNumberFormat="0" applyAlignment="0" applyProtection="0"/>
    <xf numFmtId="0" fontId="9" fillId="4" borderId="5" applyNumberFormat="0" applyAlignment="0" applyProtection="0"/>
    <xf numFmtId="0" fontId="5" fillId="0" borderId="0"/>
    <xf numFmtId="0" fontId="6" fillId="2" borderId="3" applyNumberFormat="0" applyAlignment="0" applyProtection="0"/>
    <xf numFmtId="0" fontId="7" fillId="3" borderId="4" applyNumberFormat="0" applyAlignment="0" applyProtection="0"/>
    <xf numFmtId="0" fontId="9" fillId="4" borderId="5" applyNumberFormat="0" applyAlignment="0" applyProtection="0"/>
    <xf numFmtId="0" fontId="11" fillId="0" borderId="1" applyNumberFormat="0" applyFill="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3" fillId="0" borderId="0"/>
    <xf numFmtId="0" fontId="14" fillId="3" borderId="3" applyNumberFormat="0" applyAlignment="0" applyProtection="0"/>
    <xf numFmtId="0" fontId="13" fillId="0" borderId="0"/>
    <xf numFmtId="0" fontId="17" fillId="7" borderId="0">
      <alignment horizontal="center"/>
    </xf>
    <xf numFmtId="0" fontId="18" fillId="8" borderId="0">
      <alignment horizontal="center" vertical="center" wrapText="1"/>
    </xf>
    <xf numFmtId="0" fontId="30" fillId="8" borderId="0">
      <alignment horizontal="center" vertical="center" wrapText="1"/>
    </xf>
    <xf numFmtId="0" fontId="19" fillId="11" borderId="0">
      <alignment horizontal="center" vertical="center"/>
    </xf>
    <xf numFmtId="0" fontId="5" fillId="9" borderId="6">
      <alignment horizontal="left" vertical="center"/>
    </xf>
    <xf numFmtId="2" fontId="5" fillId="10" borderId="18">
      <alignment horizontal="center" vertical="center"/>
    </xf>
    <xf numFmtId="0" fontId="18" fillId="12" borderId="0">
      <alignment horizontal="center" vertical="center"/>
    </xf>
    <xf numFmtId="0" fontId="18" fillId="13" borderId="0">
      <alignment horizontal="center" vertical="center" wrapText="1"/>
    </xf>
    <xf numFmtId="0" fontId="1" fillId="0" borderId="0"/>
    <xf numFmtId="0" fontId="27" fillId="0" borderId="1" applyNumberFormat="0" applyFill="0" applyAlignment="0" applyProtection="0"/>
    <xf numFmtId="0" fontId="19" fillId="14" borderId="0" applyAlignment="0"/>
    <xf numFmtId="0" fontId="28" fillId="15" borderId="0">
      <alignment horizontal="center" vertical="center" wrapText="1"/>
    </xf>
    <xf numFmtId="0" fontId="31" fillId="17" borderId="0" applyNumberFormat="0" applyBorder="0" applyProtection="0">
      <alignment vertical="center"/>
    </xf>
  </cellStyleXfs>
  <cellXfs count="201">
    <xf numFmtId="0" fontId="0" fillId="5" borderId="0" xfId="0"/>
    <xf numFmtId="0" fontId="16" fillId="6" borderId="0" xfId="15" applyFont="1" applyFill="1" applyBorder="1" applyAlignment="1">
      <alignment vertical="center"/>
    </xf>
    <xf numFmtId="0" fontId="15" fillId="5" borderId="0" xfId="14" applyFont="1" applyFill="1" applyBorder="1" applyAlignment="1">
      <alignment vertical="center"/>
    </xf>
    <xf numFmtId="0" fontId="0" fillId="5" borderId="0" xfId="0" applyFill="1"/>
    <xf numFmtId="0" fontId="0" fillId="5" borderId="0" xfId="0" applyFill="1" applyBorder="1" applyAlignment="1">
      <alignment vertical="center"/>
    </xf>
    <xf numFmtId="0" fontId="8" fillId="5" borderId="0" xfId="0" applyFont="1" applyFill="1" applyBorder="1" applyAlignment="1">
      <alignment vertical="center"/>
    </xf>
    <xf numFmtId="0" fontId="0" fillId="5" borderId="0" xfId="0" applyFill="1" applyAlignment="1">
      <alignment vertical="center"/>
    </xf>
    <xf numFmtId="0" fontId="3" fillId="5" borderId="0" xfId="0" applyFont="1" applyFill="1"/>
    <xf numFmtId="0" fontId="0" fillId="5" borderId="0" xfId="0" applyFont="1" applyFill="1"/>
    <xf numFmtId="0" fontId="4" fillId="5" borderId="0" xfId="0" applyFont="1" applyFill="1"/>
    <xf numFmtId="0" fontId="2" fillId="5" borderId="2" xfId="2" applyFill="1"/>
    <xf numFmtId="0" fontId="18" fillId="8" borderId="0" xfId="19">
      <alignment horizontal="center" vertical="center" wrapText="1"/>
    </xf>
    <xf numFmtId="0" fontId="30" fillId="8" borderId="0" xfId="20">
      <alignment horizontal="center" vertical="center" wrapText="1"/>
    </xf>
    <xf numFmtId="0" fontId="30" fillId="8" borderId="0" xfId="20" applyBorder="1">
      <alignment horizontal="center" vertical="center" wrapText="1"/>
    </xf>
    <xf numFmtId="0" fontId="30" fillId="8" borderId="8" xfId="20" applyBorder="1">
      <alignment horizontal="center" vertical="center" wrapText="1"/>
    </xf>
    <xf numFmtId="0" fontId="0" fillId="5" borderId="0" xfId="0" applyFill="1" applyBorder="1"/>
    <xf numFmtId="0" fontId="0" fillId="5" borderId="8" xfId="0" applyFill="1" applyBorder="1"/>
    <xf numFmtId="0" fontId="19" fillId="11" borderId="0" xfId="21">
      <alignment horizontal="center" vertical="center"/>
    </xf>
    <xf numFmtId="0" fontId="0" fillId="8" borderId="0" xfId="0" applyFill="1" applyBorder="1" applyAlignment="1" applyProtection="1">
      <alignment vertical="center"/>
      <protection locked="0"/>
    </xf>
    <xf numFmtId="0" fontId="0" fillId="5" borderId="0" xfId="0" applyFill="1" applyAlignment="1">
      <alignment wrapText="1"/>
    </xf>
    <xf numFmtId="0" fontId="22" fillId="5" borderId="0" xfId="0" applyFont="1" applyFill="1"/>
    <xf numFmtId="0" fontId="0" fillId="8" borderId="7" xfId="0" applyFill="1" applyBorder="1" applyAlignment="1" applyProtection="1">
      <alignment vertical="center"/>
      <protection locked="0"/>
    </xf>
    <xf numFmtId="0" fontId="0" fillId="8" borderId="8" xfId="0" applyFill="1" applyBorder="1" applyAlignment="1" applyProtection="1">
      <alignment horizontal="left" vertical="center"/>
      <protection locked="0"/>
    </xf>
    <xf numFmtId="0" fontId="0" fillId="5" borderId="0" xfId="0" applyFill="1" applyBorder="1" applyAlignment="1">
      <alignment horizontal="center" vertical="center"/>
    </xf>
    <xf numFmtId="0" fontId="0" fillId="5" borderId="17" xfId="0" applyFill="1" applyBorder="1"/>
    <xf numFmtId="0" fontId="22" fillId="5" borderId="0" xfId="0" applyFont="1" applyFill="1" applyBorder="1" applyAlignment="1">
      <alignment horizontal="center"/>
    </xf>
    <xf numFmtId="0" fontId="22" fillId="5" borderId="0" xfId="0" applyFont="1" applyFill="1" applyBorder="1" applyAlignment="1">
      <alignment horizontal="center" vertical="center"/>
    </xf>
    <xf numFmtId="0" fontId="25" fillId="5" borderId="0" xfId="0" applyFont="1" applyFill="1" applyBorder="1" applyAlignment="1">
      <alignment horizontal="center" vertical="center"/>
    </xf>
    <xf numFmtId="0" fontId="0" fillId="5" borderId="0" xfId="0" applyFill="1" applyBorder="1" applyAlignment="1">
      <alignment horizontal="left" vertical="center"/>
    </xf>
    <xf numFmtId="0" fontId="0" fillId="5" borderId="16" xfId="0" applyFill="1" applyBorder="1" applyAlignment="1">
      <alignment horizontal="left" vertical="center"/>
    </xf>
    <xf numFmtId="0" fontId="25" fillId="5" borderId="16" xfId="0" applyFont="1" applyFill="1" applyBorder="1" applyAlignment="1">
      <alignment horizontal="center" vertical="center" wrapText="1"/>
    </xf>
    <xf numFmtId="0" fontId="0" fillId="5" borderId="15" xfId="0" applyFill="1" applyBorder="1" applyAlignment="1">
      <alignment horizontal="left" vertical="center" wrapText="1"/>
    </xf>
    <xf numFmtId="0" fontId="0" fillId="5" borderId="7" xfId="0" applyFill="1" applyBorder="1" applyAlignment="1">
      <alignment horizontal="left" vertical="center" wrapText="1"/>
    </xf>
    <xf numFmtId="0" fontId="0" fillId="5" borderId="16" xfId="0" applyFill="1" applyBorder="1" applyAlignment="1">
      <alignment horizontal="center" vertical="center"/>
    </xf>
    <xf numFmtId="2" fontId="5" fillId="10" borderId="18" xfId="23" applyBorder="1">
      <alignment horizontal="center" vertical="center"/>
    </xf>
    <xf numFmtId="2" fontId="5" fillId="10" borderId="19" xfId="23" applyBorder="1">
      <alignment horizontal="center" vertical="center"/>
    </xf>
    <xf numFmtId="0" fontId="13" fillId="5" borderId="0" xfId="15" applyFill="1"/>
    <xf numFmtId="2" fontId="0" fillId="5" borderId="0" xfId="0" applyNumberFormat="1" applyFill="1"/>
    <xf numFmtId="0" fontId="11" fillId="5" borderId="1" xfId="1" applyFill="1"/>
    <xf numFmtId="0" fontId="0" fillId="5" borderId="10" xfId="0" applyFill="1" applyBorder="1" applyAlignment="1">
      <alignment horizontal="left" vertical="center"/>
    </xf>
    <xf numFmtId="0" fontId="0" fillId="5" borderId="0" xfId="0" applyFill="1" applyAlignment="1">
      <alignment horizontal="right"/>
    </xf>
    <xf numFmtId="0" fontId="5" fillId="9" borderId="6" xfId="22" applyBorder="1" applyAlignment="1">
      <alignment horizontal="center" vertical="center"/>
    </xf>
    <xf numFmtId="0" fontId="20" fillId="7" borderId="12" xfId="0" applyFont="1" applyFill="1" applyBorder="1" applyAlignment="1" applyProtection="1">
      <alignment vertical="center"/>
      <protection locked="0"/>
    </xf>
    <xf numFmtId="0" fontId="20" fillId="7" borderId="13" xfId="0" applyFont="1" applyFill="1" applyBorder="1" applyAlignment="1" applyProtection="1">
      <alignment vertical="center"/>
      <protection locked="0"/>
    </xf>
    <xf numFmtId="0" fontId="20" fillId="7" borderId="14" xfId="0" applyFont="1" applyFill="1" applyBorder="1" applyAlignment="1" applyProtection="1">
      <alignment vertical="center"/>
      <protection locked="0"/>
    </xf>
    <xf numFmtId="0" fontId="11" fillId="5" borderId="1" xfId="12" applyFill="1" applyAlignment="1">
      <alignment horizontal="left"/>
    </xf>
    <xf numFmtId="0" fontId="13" fillId="5" borderId="0" xfId="15" applyFill="1"/>
    <xf numFmtId="0" fontId="26" fillId="5" borderId="0" xfId="0" applyFont="1" applyFill="1"/>
    <xf numFmtId="0" fontId="11" fillId="5" borderId="1" xfId="12" applyFill="1" applyAlignment="1">
      <alignment horizontal="left"/>
    </xf>
    <xf numFmtId="0" fontId="2" fillId="5" borderId="2" xfId="2" applyFill="1" applyAlignment="1">
      <alignment horizontal="left"/>
    </xf>
    <xf numFmtId="0" fontId="30" fillId="5" borderId="0" xfId="20" applyFill="1" applyAlignment="1">
      <alignment horizontal="left" vertical="center" wrapText="1"/>
    </xf>
    <xf numFmtId="0" fontId="5" fillId="0" borderId="0" xfId="8"/>
    <xf numFmtId="0" fontId="13" fillId="5" borderId="0" xfId="17" applyFill="1"/>
    <xf numFmtId="0" fontId="18" fillId="12" borderId="0" xfId="24">
      <alignment horizontal="center" vertical="center"/>
    </xf>
    <xf numFmtId="11" fontId="18" fillId="8" borderId="0" xfId="19" applyNumberFormat="1">
      <alignment horizontal="center" vertical="center" wrapText="1"/>
    </xf>
    <xf numFmtId="0" fontId="19" fillId="11" borderId="0" xfId="21" applyAlignment="1">
      <alignment horizontal="right"/>
    </xf>
    <xf numFmtId="0" fontId="28" fillId="15" borderId="0" xfId="29">
      <alignment horizontal="center" vertical="center" wrapText="1"/>
    </xf>
    <xf numFmtId="0" fontId="0" fillId="12" borderId="0" xfId="24" applyFont="1">
      <alignment horizontal="center" vertical="center"/>
    </xf>
    <xf numFmtId="0" fontId="29" fillId="5" borderId="0" xfId="0" applyFont="1" applyAlignment="1"/>
    <xf numFmtId="0" fontId="26" fillId="5" borderId="0" xfId="0" applyFont="1"/>
    <xf numFmtId="0" fontId="29" fillId="5" borderId="0" xfId="0" applyFont="1"/>
    <xf numFmtId="0" fontId="0" fillId="5" borderId="6" xfId="0" applyBorder="1"/>
    <xf numFmtId="0" fontId="29" fillId="5" borderId="0" xfId="0" applyFont="1" applyAlignment="1">
      <alignment horizontal="center"/>
    </xf>
    <xf numFmtId="0" fontId="0" fillId="5" borderId="0" xfId="0"/>
    <xf numFmtId="0" fontId="0" fillId="16" borderId="0" xfId="0" applyFill="1"/>
    <xf numFmtId="0" fontId="29" fillId="16" borderId="0" xfId="0" applyFont="1" applyFill="1"/>
    <xf numFmtId="0" fontId="29" fillId="5" borderId="0" xfId="0" applyFont="1" applyFill="1" applyAlignment="1"/>
    <xf numFmtId="0" fontId="19" fillId="5" borderId="0" xfId="21" applyFill="1" applyBorder="1">
      <alignment horizontal="center" vertical="center"/>
    </xf>
    <xf numFmtId="0" fontId="19" fillId="5" borderId="0" xfId="21" applyFill="1" applyBorder="1" applyAlignment="1">
      <alignment horizontal="right"/>
    </xf>
    <xf numFmtId="0" fontId="19" fillId="5" borderId="0" xfId="21" applyFill="1" applyBorder="1" applyAlignment="1">
      <alignment horizontal="center"/>
    </xf>
    <xf numFmtId="0" fontId="0" fillId="5" borderId="0" xfId="0" applyBorder="1"/>
    <xf numFmtId="0" fontId="0" fillId="5" borderId="0" xfId="0" applyFont="1" applyBorder="1"/>
    <xf numFmtId="0" fontId="0" fillId="5" borderId="0" xfId="0" applyBorder="1" applyAlignment="1">
      <alignment wrapText="1"/>
    </xf>
    <xf numFmtId="11" fontId="18" fillId="13" borderId="0" xfId="25" applyNumberFormat="1">
      <alignment horizontal="center" vertical="center" wrapText="1"/>
    </xf>
    <xf numFmtId="11" fontId="19" fillId="11" borderId="0" xfId="21" applyNumberFormat="1" applyAlignment="1">
      <alignment horizontal="center" vertical="center"/>
    </xf>
    <xf numFmtId="0" fontId="18" fillId="8" borderId="0" xfId="19" applyBorder="1">
      <alignment horizontal="center" vertical="center" wrapText="1"/>
    </xf>
    <xf numFmtId="11" fontId="18" fillId="8" borderId="0" xfId="19" applyNumberFormat="1" applyBorder="1">
      <alignment horizontal="center" vertical="center" wrapText="1"/>
    </xf>
    <xf numFmtId="11" fontId="19" fillId="11" borderId="0" xfId="21" applyNumberFormat="1" applyBorder="1" applyAlignment="1">
      <alignment horizontal="center"/>
    </xf>
    <xf numFmtId="0" fontId="0" fillId="16" borderId="0" xfId="0" applyFill="1" applyBorder="1"/>
    <xf numFmtId="0" fontId="0" fillId="16" borderId="0" xfId="0" applyFill="1" applyBorder="1" applyAlignment="1">
      <alignment wrapText="1"/>
    </xf>
    <xf numFmtId="0" fontId="26" fillId="5" borderId="0" xfId="0" applyFont="1" applyAlignment="1"/>
    <xf numFmtId="0" fontId="10" fillId="5" borderId="0" xfId="14" quotePrefix="1" applyFill="1" applyBorder="1" applyAlignment="1">
      <alignment vertical="center"/>
    </xf>
    <xf numFmtId="0" fontId="10" fillId="5" borderId="0" xfId="14" applyFill="1" applyBorder="1" applyAlignment="1">
      <alignment vertical="center"/>
    </xf>
    <xf numFmtId="0" fontId="15" fillId="5" borderId="0" xfId="14" applyFont="1" applyFill="1" applyBorder="1" applyAlignment="1">
      <alignment vertical="center" wrapText="1"/>
    </xf>
    <xf numFmtId="0" fontId="10" fillId="5" borderId="0" xfId="14" applyFill="1" applyBorder="1" applyAlignment="1">
      <alignment vertical="center" wrapText="1"/>
    </xf>
    <xf numFmtId="0" fontId="10" fillId="5" borderId="0" xfId="14" applyFill="1"/>
    <xf numFmtId="0" fontId="19" fillId="11" borderId="0" xfId="21" applyAlignment="1">
      <alignment horizontal="right"/>
    </xf>
    <xf numFmtId="0" fontId="0" fillId="5" borderId="0" xfId="0"/>
    <xf numFmtId="0" fontId="0" fillId="5" borderId="0" xfId="0"/>
    <xf numFmtId="0" fontId="17" fillId="7" borderId="0" xfId="18" applyAlignment="1"/>
    <xf numFmtId="14" fontId="0" fillId="5" borderId="0" xfId="0" applyNumberFormat="1"/>
    <xf numFmtId="0" fontId="0" fillId="5" borderId="0" xfId="0"/>
    <xf numFmtId="0" fontId="30" fillId="8" borderId="0" xfId="20" applyAlignment="1">
      <alignment horizontal="left" vertical="center" wrapText="1"/>
    </xf>
    <xf numFmtId="0" fontId="30" fillId="8" borderId="0" xfId="20" applyAlignment="1">
      <alignment horizontal="center" vertical="center" textRotation="90" wrapText="1"/>
    </xf>
    <xf numFmtId="0" fontId="5" fillId="9" borderId="6" xfId="22" applyAlignment="1">
      <alignment horizontal="center" vertical="center"/>
    </xf>
    <xf numFmtId="0" fontId="5" fillId="9" borderId="11" xfId="22" applyBorder="1" applyAlignment="1">
      <alignment horizontal="center" vertical="center"/>
    </xf>
    <xf numFmtId="0" fontId="18" fillId="8" borderId="0" xfId="19" applyAlignment="1">
      <alignment horizontal="left" vertical="center" wrapText="1"/>
    </xf>
    <xf numFmtId="0" fontId="30" fillId="8" borderId="0" xfId="20" applyFont="1">
      <alignment horizontal="center" vertical="center" wrapText="1"/>
    </xf>
    <xf numFmtId="0" fontId="30" fillId="8" borderId="0" xfId="20" applyFont="1" applyAlignment="1">
      <alignment horizontal="left" vertical="center" wrapText="1"/>
    </xf>
    <xf numFmtId="0" fontId="18" fillId="8" borderId="0" xfId="19" applyFont="1" applyAlignment="1">
      <alignment horizontal="left" vertical="center" wrapText="1"/>
    </xf>
    <xf numFmtId="11" fontId="18" fillId="12" borderId="0" xfId="24" applyNumberFormat="1" applyFont="1">
      <alignment horizontal="center" vertical="center"/>
    </xf>
    <xf numFmtId="11" fontId="18" fillId="8" borderId="0" xfId="19" applyNumberFormat="1" applyFont="1">
      <alignment horizontal="center" vertical="center" wrapText="1"/>
    </xf>
    <xf numFmtId="0" fontId="30" fillId="8" borderId="0" xfId="20" applyBorder="1" applyAlignment="1">
      <alignment horizontal="left" vertical="center" wrapText="1"/>
    </xf>
    <xf numFmtId="0" fontId="18" fillId="8" borderId="0" xfId="19" applyBorder="1" applyAlignment="1">
      <alignment horizontal="left" vertical="center" wrapText="1"/>
    </xf>
    <xf numFmtId="0" fontId="30" fillId="8" borderId="0" xfId="20" applyAlignment="1">
      <alignment horizontal="center" vertical="center" wrapText="1"/>
    </xf>
    <xf numFmtId="0" fontId="18" fillId="8" borderId="0" xfId="19" applyAlignment="1">
      <alignment horizontal="left" vertical="center"/>
    </xf>
    <xf numFmtId="0" fontId="0" fillId="5" borderId="0" xfId="0" applyBorder="1" applyAlignment="1">
      <alignment horizontal="left"/>
    </xf>
    <xf numFmtId="11" fontId="0" fillId="5" borderId="0" xfId="0" applyNumberFormat="1" applyBorder="1"/>
    <xf numFmtId="11" fontId="18" fillId="8" borderId="0" xfId="19" applyNumberFormat="1" applyFill="1" applyBorder="1">
      <alignment horizontal="center" vertical="center" wrapText="1"/>
    </xf>
    <xf numFmtId="0" fontId="0" fillId="0" borderId="0" xfId="8" applyFont="1"/>
    <xf numFmtId="0" fontId="10" fillId="5" borderId="0" xfId="14" quotePrefix="1" applyFill="1"/>
    <xf numFmtId="0" fontId="11" fillId="5" borderId="1" xfId="12" applyFill="1" applyAlignment="1">
      <alignment horizontal="left"/>
    </xf>
    <xf numFmtId="0" fontId="26" fillId="5" borderId="0" xfId="0" applyFont="1" applyAlignment="1">
      <alignment horizontal="left"/>
    </xf>
    <xf numFmtId="0" fontId="0" fillId="5" borderId="0" xfId="0" applyAlignment="1"/>
    <xf numFmtId="0" fontId="30" fillId="8" borderId="0" xfId="20" applyAlignment="1">
      <alignment horizontal="left" vertical="center" wrapText="1"/>
    </xf>
    <xf numFmtId="0" fontId="30" fillId="8" borderId="0" xfId="20" applyAlignment="1">
      <alignment horizontal="left" vertical="center"/>
    </xf>
    <xf numFmtId="0" fontId="19" fillId="11" borderId="0" xfId="21" applyAlignment="1">
      <alignment horizontal="right"/>
    </xf>
    <xf numFmtId="0" fontId="18" fillId="8" borderId="0" xfId="19">
      <alignment horizontal="center" vertical="center" wrapText="1"/>
    </xf>
    <xf numFmtId="0" fontId="11" fillId="5" borderId="1" xfId="12" applyFill="1" applyAlignment="1">
      <alignment horizontal="left"/>
    </xf>
    <xf numFmtId="0" fontId="30" fillId="8" borderId="0" xfId="20" applyAlignment="1">
      <alignment horizontal="left" vertical="center"/>
    </xf>
    <xf numFmtId="0" fontId="2" fillId="5" borderId="2" xfId="2" applyFill="1" applyAlignment="1">
      <alignment horizontal="left"/>
    </xf>
    <xf numFmtId="0" fontId="18" fillId="8" borderId="0" xfId="19" applyFont="1" applyAlignment="1">
      <alignment horizontal="left" vertical="center"/>
    </xf>
    <xf numFmtId="0" fontId="30" fillId="8" borderId="0" xfId="20" applyBorder="1" applyAlignment="1">
      <alignment vertical="center" wrapText="1"/>
    </xf>
    <xf numFmtId="0" fontId="18" fillId="8" borderId="0" xfId="19" applyAlignment="1">
      <alignment vertical="center" wrapText="1"/>
    </xf>
    <xf numFmtId="0" fontId="18" fillId="8" borderId="0" xfId="19" applyBorder="1" applyAlignment="1">
      <alignment horizontal="left" vertical="center"/>
    </xf>
    <xf numFmtId="11" fontId="18" fillId="8" borderId="0" xfId="19" applyNumberFormat="1" applyFont="1" applyAlignment="1">
      <alignment horizontal="center" vertical="center"/>
    </xf>
    <xf numFmtId="0" fontId="18" fillId="12" borderId="0" xfId="24" applyNumberFormat="1">
      <alignment horizontal="center" vertical="center"/>
    </xf>
    <xf numFmtId="0" fontId="19" fillId="11" borderId="0" xfId="21" applyAlignment="1">
      <alignment horizontal="right" vertical="center" wrapText="1"/>
    </xf>
    <xf numFmtId="0" fontId="19" fillId="11" borderId="0" xfId="21" applyAlignment="1">
      <alignment horizontal="left" vertical="center" wrapText="1"/>
    </xf>
    <xf numFmtId="11" fontId="19" fillId="11" borderId="0" xfId="21" applyNumberFormat="1">
      <alignment horizontal="center" vertical="center"/>
    </xf>
    <xf numFmtId="0" fontId="0" fillId="5" borderId="0" xfId="0" applyAlignment="1">
      <alignment horizontal="center"/>
    </xf>
    <xf numFmtId="0" fontId="0" fillId="5" borderId="0" xfId="0" applyFill="1" applyAlignment="1">
      <alignment horizontal="center"/>
    </xf>
    <xf numFmtId="0" fontId="18" fillId="8" borderId="0" xfId="19" applyBorder="1" applyAlignment="1">
      <alignment horizontal="center" vertical="center" wrapText="1"/>
    </xf>
    <xf numFmtId="0" fontId="19" fillId="5" borderId="0" xfId="21" applyFill="1" applyBorder="1" applyAlignment="1">
      <alignment horizontal="center" vertical="center"/>
    </xf>
    <xf numFmtId="0" fontId="0" fillId="5" borderId="0" xfId="0" applyFill="1" applyBorder="1" applyAlignment="1">
      <alignment horizontal="center"/>
    </xf>
    <xf numFmtId="0" fontId="0" fillId="5" borderId="0" xfId="0" applyAlignment="1">
      <alignment horizontal="center" vertical="center" wrapText="1"/>
    </xf>
    <xf numFmtId="0" fontId="0" fillId="5" borderId="0" xfId="0" applyAlignment="1">
      <alignment horizontal="center" vertical="center"/>
    </xf>
    <xf numFmtId="0" fontId="0" fillId="5" borderId="6" xfId="0" applyBorder="1" applyAlignment="1">
      <alignment horizontal="center" vertical="center" wrapText="1"/>
    </xf>
    <xf numFmtId="11" fontId="0" fillId="5" borderId="6" xfId="0" applyNumberFormat="1" applyBorder="1" applyAlignment="1">
      <alignment horizontal="center" vertical="center"/>
    </xf>
    <xf numFmtId="0" fontId="26" fillId="5" borderId="0" xfId="0" applyFont="1" applyAlignment="1">
      <alignment horizontal="right"/>
    </xf>
    <xf numFmtId="0" fontId="0" fillId="5" borderId="6" xfId="0" applyBorder="1" applyAlignment="1">
      <alignment vertical="center"/>
    </xf>
    <xf numFmtId="11" fontId="18" fillId="12" borderId="0" xfId="24" applyNumberFormat="1">
      <alignment horizontal="center" vertical="center"/>
    </xf>
    <xf numFmtId="0" fontId="0" fillId="5" borderId="9" xfId="0" applyFill="1" applyBorder="1" applyAlignment="1">
      <alignment vertical="center"/>
    </xf>
    <xf numFmtId="0" fontId="26" fillId="5" borderId="0" xfId="0" applyFont="1" applyFill="1" applyAlignment="1">
      <alignment vertical="center"/>
    </xf>
    <xf numFmtId="0" fontId="30" fillId="8" borderId="0" xfId="20" applyAlignment="1">
      <alignment horizontal="right" vertical="center"/>
    </xf>
    <xf numFmtId="0" fontId="30" fillId="8" borderId="0" xfId="20" applyAlignment="1">
      <alignment horizontal="center" vertical="center"/>
    </xf>
    <xf numFmtId="0" fontId="30" fillId="8" borderId="7" xfId="20" applyBorder="1" applyAlignment="1">
      <alignment horizontal="left" vertical="center" wrapText="1"/>
    </xf>
    <xf numFmtId="0" fontId="31" fillId="17" borderId="0" xfId="30" applyAlignment="1">
      <alignment horizontal="right"/>
    </xf>
    <xf numFmtId="0" fontId="31" fillId="17" borderId="0" xfId="30" applyAlignment="1">
      <alignment horizontal="left"/>
    </xf>
    <xf numFmtId="0" fontId="0" fillId="5" borderId="0" xfId="0" applyAlignment="1">
      <alignment vertical="top"/>
    </xf>
    <xf numFmtId="14" fontId="0" fillId="5" borderId="0" xfId="0" applyNumberFormat="1" applyAlignment="1">
      <alignment vertical="top"/>
    </xf>
    <xf numFmtId="0" fontId="11" fillId="5" borderId="1" xfId="12" applyFill="1"/>
    <xf numFmtId="0" fontId="13" fillId="5" borderId="0" xfId="17" applyFill="1" applyAlignment="1">
      <alignment vertical="center" wrapText="1"/>
    </xf>
    <xf numFmtId="0" fontId="18" fillId="12" borderId="0" xfId="24" applyAlignment="1">
      <alignment vertical="center"/>
    </xf>
    <xf numFmtId="2" fontId="0" fillId="5" borderId="0" xfId="0" applyNumberFormat="1"/>
    <xf numFmtId="11" fontId="0" fillId="5" borderId="0" xfId="0" applyNumberFormat="1"/>
    <xf numFmtId="0" fontId="0" fillId="5" borderId="0" xfId="0" applyAlignment="1">
      <alignment vertical="center"/>
    </xf>
    <xf numFmtId="14" fontId="0" fillId="5" borderId="0" xfId="0" applyNumberFormat="1" applyAlignment="1">
      <alignment vertical="center"/>
    </xf>
    <xf numFmtId="164" fontId="0" fillId="12" borderId="0" xfId="24" applyNumberFormat="1" applyFont="1">
      <alignment horizontal="center" vertical="center"/>
    </xf>
    <xf numFmtId="2" fontId="0" fillId="12" borderId="0" xfId="24" applyNumberFormat="1" applyFont="1">
      <alignment horizontal="center" vertical="center"/>
    </xf>
    <xf numFmtId="0" fontId="32" fillId="5" borderId="0" xfId="8" applyFont="1" applyFill="1"/>
    <xf numFmtId="0" fontId="0" fillId="5" borderId="0" xfId="0" applyAlignment="1">
      <alignment wrapText="1"/>
    </xf>
    <xf numFmtId="0" fontId="11" fillId="5" borderId="1" xfId="1" applyFill="1"/>
    <xf numFmtId="0" fontId="0" fillId="5" borderId="0" xfId="0" applyAlignment="1">
      <alignment horizontal="left" vertical="top" wrapText="1"/>
    </xf>
    <xf numFmtId="0" fontId="0" fillId="5" borderId="0" xfId="0" applyAlignment="1">
      <alignment horizontal="left" vertical="top"/>
    </xf>
    <xf numFmtId="0" fontId="0" fillId="5" borderId="0" xfId="0" applyAlignment="1">
      <alignment horizontal="left" vertical="center" wrapText="1"/>
    </xf>
    <xf numFmtId="0" fontId="11" fillId="5" borderId="1" xfId="12" applyFill="1" applyAlignment="1">
      <alignment horizontal="left" vertical="center" wrapText="1"/>
    </xf>
    <xf numFmtId="0" fontId="0" fillId="5" borderId="0" xfId="0" applyFill="1" applyAlignment="1">
      <alignment horizontal="left" vertical="center" wrapText="1"/>
    </xf>
    <xf numFmtId="0" fontId="11" fillId="5" borderId="1" xfId="1" applyFill="1" applyAlignment="1">
      <alignment horizontal="left" vertical="center" wrapText="1"/>
    </xf>
    <xf numFmtId="0" fontId="11" fillId="5" borderId="1" xfId="12" applyFill="1" applyAlignment="1">
      <alignment horizontal="left"/>
    </xf>
    <xf numFmtId="0" fontId="17" fillId="7" borderId="7" xfId="18" applyBorder="1" applyAlignment="1">
      <alignment horizontal="left"/>
    </xf>
    <xf numFmtId="0" fontId="17" fillId="7" borderId="0" xfId="18" applyBorder="1" applyAlignment="1">
      <alignment horizontal="left"/>
    </xf>
    <xf numFmtId="0" fontId="17" fillId="7" borderId="8" xfId="18" applyBorder="1" applyAlignment="1">
      <alignment horizontal="left"/>
    </xf>
    <xf numFmtId="0" fontId="2" fillId="0" borderId="2" xfId="2" applyAlignment="1">
      <alignment horizontal="left"/>
    </xf>
    <xf numFmtId="0" fontId="0" fillId="5" borderId="6" xfId="0" applyBorder="1" applyAlignment="1">
      <alignment horizontal="left" vertical="center"/>
    </xf>
    <xf numFmtId="0" fontId="26" fillId="5" borderId="0" xfId="0" applyFont="1" applyAlignment="1">
      <alignment horizontal="left"/>
    </xf>
    <xf numFmtId="0" fontId="29" fillId="5" borderId="0" xfId="0" applyFont="1" applyAlignment="1">
      <alignment horizontal="left"/>
    </xf>
    <xf numFmtId="0" fontId="0" fillId="5" borderId="0" xfId="0" applyAlignment="1"/>
    <xf numFmtId="0" fontId="0" fillId="5" borderId="20" xfId="0" applyBorder="1" applyAlignment="1">
      <alignment horizontal="left"/>
    </xf>
    <xf numFmtId="0" fontId="0" fillId="5" borderId="21" xfId="0" applyBorder="1" applyAlignment="1">
      <alignment horizontal="left"/>
    </xf>
    <xf numFmtId="0" fontId="0" fillId="5" borderId="22" xfId="0" applyBorder="1" applyAlignment="1">
      <alignment horizontal="left"/>
    </xf>
    <xf numFmtId="0" fontId="0" fillId="5" borderId="20" xfId="0" applyBorder="1" applyAlignment="1">
      <alignment horizontal="center" vertical="center" textRotation="90" wrapText="1"/>
    </xf>
    <xf numFmtId="0" fontId="0" fillId="5" borderId="22" xfId="0" applyBorder="1" applyAlignment="1">
      <alignment horizontal="center" vertical="center" textRotation="90" wrapText="1"/>
    </xf>
    <xf numFmtId="0" fontId="0" fillId="5" borderId="6" xfId="0" applyBorder="1" applyAlignment="1">
      <alignment horizontal="left"/>
    </xf>
    <xf numFmtId="0" fontId="0" fillId="5" borderId="20" xfId="0" applyBorder="1" applyAlignment="1">
      <alignment vertical="center"/>
    </xf>
    <xf numFmtId="0" fontId="0" fillId="5" borderId="21" xfId="0" applyBorder="1" applyAlignment="1">
      <alignment vertical="center"/>
    </xf>
    <xf numFmtId="0" fontId="0" fillId="5" borderId="22" xfId="0" applyBorder="1" applyAlignment="1">
      <alignment vertical="center"/>
    </xf>
    <xf numFmtId="0" fontId="0" fillId="5" borderId="20" xfId="0" applyBorder="1" applyAlignment="1">
      <alignment horizontal="left" vertical="center"/>
    </xf>
    <xf numFmtId="0" fontId="0" fillId="5" borderId="21" xfId="0" applyBorder="1" applyAlignment="1">
      <alignment horizontal="left" vertical="center"/>
    </xf>
    <xf numFmtId="0" fontId="0" fillId="5" borderId="22" xfId="0" applyBorder="1" applyAlignment="1">
      <alignment horizontal="left" vertical="center"/>
    </xf>
    <xf numFmtId="0" fontId="19" fillId="11" borderId="0" xfId="21" applyBorder="1" applyAlignment="1">
      <alignment horizontal="right"/>
    </xf>
    <xf numFmtId="0" fontId="11" fillId="5" borderId="1" xfId="1" applyFill="1" applyAlignment="1">
      <alignment horizontal="left" wrapText="1"/>
    </xf>
    <xf numFmtId="0" fontId="30" fillId="8" borderId="0" xfId="20" applyAlignment="1">
      <alignment horizontal="left" vertical="center"/>
    </xf>
    <xf numFmtId="0" fontId="17" fillId="7" borderId="0" xfId="18" applyAlignment="1">
      <alignment horizontal="left"/>
    </xf>
    <xf numFmtId="0" fontId="17" fillId="7" borderId="12" xfId="18" applyBorder="1" applyAlignment="1">
      <alignment horizontal="left"/>
    </xf>
    <xf numFmtId="0" fontId="17" fillId="7" borderId="13" xfId="18" applyBorder="1" applyAlignment="1">
      <alignment horizontal="left"/>
    </xf>
    <xf numFmtId="0" fontId="11" fillId="5" borderId="1" xfId="1" applyFill="1" applyAlignment="1">
      <alignment wrapText="1"/>
    </xf>
    <xf numFmtId="0" fontId="19" fillId="11" borderId="0" xfId="21" applyAlignment="1">
      <alignment horizontal="right"/>
    </xf>
    <xf numFmtId="0" fontId="2" fillId="5" borderId="2" xfId="2" applyFill="1" applyAlignment="1">
      <alignment horizontal="left"/>
    </xf>
    <xf numFmtId="11" fontId="18" fillId="8" borderId="0" xfId="19" applyNumberFormat="1">
      <alignment horizontal="center" vertical="center" wrapText="1"/>
    </xf>
    <xf numFmtId="11" fontId="18" fillId="8" borderId="0" xfId="19" applyNumberFormat="1" applyAlignment="1">
      <alignment horizontal="center" vertical="center"/>
    </xf>
  </cellXfs>
  <cellStyles count="31">
    <cellStyle name="1_Input" xfId="22"/>
    <cellStyle name="1_Output" xfId="23"/>
    <cellStyle name="Boat" xfId="29"/>
    <cellStyle name="Calculated Output" xfId="25"/>
    <cellStyle name="Calculation" xfId="6" builtinId="22" customBuiltin="1"/>
    <cellStyle name="Calculation 2" xfId="16"/>
    <cellStyle name="Check Cell" xfId="7" builtinId="23" customBuiltin="1"/>
    <cellStyle name="Check Cell 2" xfId="11"/>
    <cellStyle name="Good" xfId="30" builtinId="26" customBuiltin="1"/>
    <cellStyle name="Heading 1" xfId="1" builtinId="16" customBuiltin="1"/>
    <cellStyle name="Heading 1 2" xfId="12"/>
    <cellStyle name="Heading 1 3" xfId="27"/>
    <cellStyle name="Heading 2" xfId="2" builtinId="17"/>
    <cellStyle name="Heading 4" xfId="3" builtinId="19" customBuiltin="1"/>
    <cellStyle name="Heading 4 2" xfId="13"/>
    <cellStyle name="Hyperlink" xfId="14" builtinId="8"/>
    <cellStyle name="Input" xfId="4" builtinId="20" customBuiltin="1"/>
    <cellStyle name="Input 2" xfId="9"/>
    <cellStyle name="MAMPEC_Input" xfId="24"/>
    <cellStyle name="Normal" xfId="0" builtinId="0" customBuiltin="1"/>
    <cellStyle name="Normal 2" xfId="15"/>
    <cellStyle name="Normal 2 2" xfId="17"/>
    <cellStyle name="Normal 3" xfId="8"/>
    <cellStyle name="Normal 4" xfId="26"/>
    <cellStyle name="Output" xfId="5" builtinId="21" customBuiltin="1"/>
    <cellStyle name="Output 2" xfId="10"/>
    <cellStyle name="Statistics" xfId="21"/>
    <cellStyle name="Statistics 2" xfId="28"/>
    <cellStyle name="Table Column Heading" xfId="20"/>
    <cellStyle name="Table Content" xfId="19"/>
    <cellStyle name="Table Title" xfId="18"/>
  </cellStyles>
  <dxfs count="21">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28</xdr:row>
      <xdr:rowOff>0</xdr:rowOff>
    </xdr:from>
    <xdr:to>
      <xdr:col>11</xdr:col>
      <xdr:colOff>2038350</xdr:colOff>
      <xdr:row>28</xdr:row>
      <xdr:rowOff>625928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88393" y="8273143"/>
          <a:ext cx="2038350" cy="625928"/>
        </a:xfrm>
        <a:prstGeom prst="rect">
          <a:avLst/>
        </a:prstGeom>
      </xdr:spPr>
    </xdr:pic>
    <xdr:clientData/>
  </xdr:twoCellAnchor>
  <xdr:twoCellAnchor editAs="oneCell">
    <xdr:from>
      <xdr:col>11</xdr:col>
      <xdr:colOff>0</xdr:colOff>
      <xdr:row>28</xdr:row>
      <xdr:rowOff>466725</xdr:rowOff>
    </xdr:from>
    <xdr:to>
      <xdr:col>11</xdr:col>
      <xdr:colOff>2228850</xdr:colOff>
      <xdr:row>29</xdr:row>
      <xdr:rowOff>669471</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973425" y="7572375"/>
          <a:ext cx="2228850" cy="885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28</xdr:row>
      <xdr:rowOff>0</xdr:rowOff>
    </xdr:from>
    <xdr:to>
      <xdr:col>11</xdr:col>
      <xdr:colOff>2038350</xdr:colOff>
      <xdr:row>28</xdr:row>
      <xdr:rowOff>625928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92475" y="6410325"/>
          <a:ext cx="2038350" cy="625928"/>
        </a:xfrm>
        <a:prstGeom prst="rect">
          <a:avLst/>
        </a:prstGeom>
      </xdr:spPr>
    </xdr:pic>
    <xdr:clientData/>
  </xdr:twoCellAnchor>
  <xdr:twoCellAnchor editAs="oneCell">
    <xdr:from>
      <xdr:col>11</xdr:col>
      <xdr:colOff>0</xdr:colOff>
      <xdr:row>28</xdr:row>
      <xdr:rowOff>466725</xdr:rowOff>
    </xdr:from>
    <xdr:to>
      <xdr:col>11</xdr:col>
      <xdr:colOff>2228850</xdr:colOff>
      <xdr:row>29</xdr:row>
      <xdr:rowOff>669471</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992475" y="6877050"/>
          <a:ext cx="2228850" cy="8885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9</xdr:col>
      <xdr:colOff>17905</xdr:colOff>
      <xdr:row>29</xdr:row>
      <xdr:rowOff>75724</xdr:rowOff>
    </xdr:to>
    <xdr:pic>
      <xdr:nvPicPr>
        <xdr:cNvPr id="3" name="Picture 2"/>
        <xdr:cNvPicPr>
          <a:picLocks noChangeAspect="1"/>
        </xdr:cNvPicPr>
      </xdr:nvPicPr>
      <xdr:blipFill>
        <a:blip xmlns:r="http://schemas.openxmlformats.org/officeDocument/2006/relationships" r:embed="rId1"/>
        <a:stretch>
          <a:fillRect/>
        </a:stretch>
      </xdr:blipFill>
      <xdr:spPr>
        <a:xfrm>
          <a:off x="685800" y="1323975"/>
          <a:ext cx="9161905" cy="38095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8</xdr:col>
      <xdr:colOff>427515</xdr:colOff>
      <xdr:row>41</xdr:row>
      <xdr:rowOff>123090</xdr:rowOff>
    </xdr:to>
    <xdr:pic>
      <xdr:nvPicPr>
        <xdr:cNvPr id="2" name="Picture 1"/>
        <xdr:cNvPicPr>
          <a:picLocks noChangeAspect="1"/>
        </xdr:cNvPicPr>
      </xdr:nvPicPr>
      <xdr:blipFill>
        <a:blip xmlns:r="http://schemas.openxmlformats.org/officeDocument/2006/relationships" r:embed="rId1"/>
        <a:stretch>
          <a:fillRect/>
        </a:stretch>
      </xdr:blipFill>
      <xdr:spPr>
        <a:xfrm>
          <a:off x="685800" y="1323975"/>
          <a:ext cx="8885715" cy="58857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B1:Z46"/>
  <sheetViews>
    <sheetView tabSelected="1" zoomScale="90" zoomScaleNormal="90" workbookViewId="0"/>
  </sheetViews>
  <sheetFormatPr defaultRowHeight="12.75" x14ac:dyDescent="0.2"/>
  <cols>
    <col min="1" max="1" width="9" style="91"/>
    <col min="2" max="3" width="19.5" style="149" customWidth="1"/>
    <col min="4" max="4" width="9" style="149"/>
    <col min="5" max="16384" width="9" style="91"/>
  </cols>
  <sheetData>
    <row r="1" spans="2:16" x14ac:dyDescent="0.2">
      <c r="B1" s="91"/>
      <c r="C1" s="91"/>
      <c r="D1" s="91"/>
    </row>
    <row r="2" spans="2:16" ht="21" customHeight="1" thickBot="1" x14ac:dyDescent="0.35">
      <c r="B2" s="162" t="s">
        <v>103</v>
      </c>
      <c r="C2" s="162"/>
      <c r="D2" s="162"/>
      <c r="E2" s="162"/>
      <c r="F2" s="162"/>
      <c r="G2" s="162"/>
      <c r="H2" s="162"/>
      <c r="I2" s="162"/>
      <c r="J2" s="162"/>
      <c r="K2" s="162"/>
      <c r="L2" s="162"/>
      <c r="M2" s="162"/>
      <c r="N2" s="162"/>
      <c r="O2" s="162"/>
    </row>
    <row r="3" spans="2:16" ht="13.5" thickTop="1" x14ac:dyDescent="0.2">
      <c r="B3" s="156" t="s">
        <v>257</v>
      </c>
      <c r="C3" s="91"/>
      <c r="D3" s="91"/>
    </row>
    <row r="4" spans="2:16" x14ac:dyDescent="0.2">
      <c r="B4" s="91" t="s">
        <v>233</v>
      </c>
      <c r="C4" s="91"/>
      <c r="D4" s="91"/>
    </row>
    <row r="5" spans="2:16" x14ac:dyDescent="0.2">
      <c r="B5" s="91" t="s">
        <v>224</v>
      </c>
      <c r="C5" s="91"/>
      <c r="D5" s="91"/>
    </row>
    <row r="6" spans="2:16" ht="80.099999999999994" customHeight="1" x14ac:dyDescent="0.2">
      <c r="B6" s="161" t="s">
        <v>102</v>
      </c>
      <c r="C6" s="161"/>
      <c r="D6" s="161"/>
      <c r="E6" s="161"/>
      <c r="F6" s="161"/>
      <c r="G6" s="161"/>
      <c r="H6" s="161"/>
      <c r="I6" s="161"/>
      <c r="J6" s="161"/>
      <c r="K6" s="161"/>
      <c r="L6" s="161"/>
      <c r="M6" s="161"/>
      <c r="N6" s="161"/>
      <c r="O6" s="161"/>
      <c r="P6" s="161"/>
    </row>
    <row r="7" spans="2:16" x14ac:dyDescent="0.2">
      <c r="B7" s="91"/>
      <c r="C7" s="91"/>
      <c r="D7" s="91"/>
    </row>
    <row r="8" spans="2:16" x14ac:dyDescent="0.2">
      <c r="B8" s="91"/>
      <c r="C8" s="91"/>
      <c r="D8" s="91"/>
    </row>
    <row r="9" spans="2:16" x14ac:dyDescent="0.2">
      <c r="B9" s="91"/>
      <c r="C9" s="91"/>
      <c r="D9" s="91"/>
    </row>
    <row r="10" spans="2:16" x14ac:dyDescent="0.2">
      <c r="B10" s="91" t="s">
        <v>225</v>
      </c>
      <c r="C10" s="91"/>
      <c r="D10" s="91"/>
    </row>
    <row r="11" spans="2:16" x14ac:dyDescent="0.2">
      <c r="B11" s="91" t="s">
        <v>7</v>
      </c>
      <c r="C11" s="91"/>
      <c r="D11" s="91"/>
    </row>
    <row r="12" spans="2:16" x14ac:dyDescent="0.2">
      <c r="B12" s="91" t="s">
        <v>5</v>
      </c>
      <c r="C12" s="91"/>
      <c r="D12" s="91"/>
    </row>
    <row r="13" spans="2:16" x14ac:dyDescent="0.2">
      <c r="B13" s="91"/>
      <c r="C13" s="91"/>
      <c r="D13" s="91"/>
    </row>
    <row r="14" spans="2:16" x14ac:dyDescent="0.2">
      <c r="B14" s="91"/>
      <c r="C14" s="91"/>
      <c r="D14" s="91"/>
    </row>
    <row r="15" spans="2:16" x14ac:dyDescent="0.2">
      <c r="B15" s="91" t="s">
        <v>6</v>
      </c>
      <c r="C15" s="91"/>
      <c r="D15" s="91"/>
    </row>
    <row r="16" spans="2:16" x14ac:dyDescent="0.2">
      <c r="B16" s="91"/>
      <c r="C16" s="91"/>
      <c r="D16" s="91"/>
    </row>
    <row r="17" spans="2:26" ht="30.75" customHeight="1" x14ac:dyDescent="0.2">
      <c r="B17" s="149" t="s">
        <v>77</v>
      </c>
      <c r="C17" s="150">
        <v>42921</v>
      </c>
      <c r="D17" s="163" t="s">
        <v>226</v>
      </c>
      <c r="E17" s="163"/>
      <c r="F17" s="163"/>
      <c r="G17" s="163"/>
      <c r="H17" s="163"/>
      <c r="I17" s="163"/>
      <c r="J17" s="163"/>
      <c r="K17" s="163"/>
      <c r="L17" s="163"/>
      <c r="M17" s="163"/>
      <c r="N17" s="163"/>
      <c r="O17" s="163"/>
      <c r="P17" s="163"/>
      <c r="Q17" s="163"/>
      <c r="R17" s="163"/>
      <c r="S17" s="163"/>
      <c r="T17" s="163"/>
      <c r="U17" s="163"/>
      <c r="V17" s="163"/>
      <c r="W17" s="163"/>
      <c r="X17" s="163"/>
      <c r="Y17" s="163"/>
      <c r="Z17" s="163"/>
    </row>
    <row r="18" spans="2:26" x14ac:dyDescent="0.2">
      <c r="B18" s="149" t="s">
        <v>236</v>
      </c>
      <c r="C18" s="150">
        <v>42930</v>
      </c>
      <c r="D18" s="164" t="s">
        <v>237</v>
      </c>
      <c r="E18" s="164"/>
      <c r="F18" s="164"/>
      <c r="G18" s="164"/>
      <c r="H18" s="164"/>
      <c r="I18" s="164"/>
      <c r="J18" s="164"/>
      <c r="K18" s="164"/>
      <c r="L18" s="164"/>
      <c r="M18" s="164"/>
      <c r="N18" s="164"/>
      <c r="O18" s="164"/>
      <c r="P18" s="164"/>
      <c r="Q18" s="164"/>
      <c r="R18" s="164"/>
      <c r="S18" s="164"/>
      <c r="T18" s="164"/>
      <c r="U18" s="164"/>
      <c r="V18" s="164"/>
      <c r="W18" s="164"/>
      <c r="X18" s="164"/>
      <c r="Y18" s="164"/>
      <c r="Z18" s="164"/>
    </row>
    <row r="19" spans="2:26" ht="27.95" customHeight="1" x14ac:dyDescent="0.2">
      <c r="B19" s="156" t="s">
        <v>238</v>
      </c>
      <c r="C19" s="157">
        <v>43006</v>
      </c>
      <c r="D19" s="165" t="s">
        <v>239</v>
      </c>
      <c r="E19" s="165"/>
      <c r="F19" s="165"/>
      <c r="G19" s="165"/>
      <c r="H19" s="165"/>
      <c r="I19" s="165"/>
      <c r="J19" s="165"/>
      <c r="K19" s="165"/>
      <c r="L19" s="165"/>
      <c r="M19" s="165"/>
      <c r="N19" s="165"/>
      <c r="O19" s="165"/>
      <c r="P19" s="165"/>
      <c r="Q19" s="165"/>
      <c r="R19" s="165"/>
      <c r="S19" s="165"/>
      <c r="T19" s="165"/>
      <c r="U19" s="165"/>
      <c r="V19" s="165"/>
      <c r="W19" s="165"/>
      <c r="X19" s="165"/>
      <c r="Y19" s="165"/>
      <c r="Z19" s="165"/>
    </row>
    <row r="20" spans="2:26" ht="24.75" customHeight="1" x14ac:dyDescent="0.2">
      <c r="B20" s="149" t="s">
        <v>255</v>
      </c>
      <c r="C20" s="150">
        <v>43021</v>
      </c>
      <c r="D20" s="165" t="s">
        <v>256</v>
      </c>
      <c r="E20" s="165"/>
      <c r="F20" s="165"/>
      <c r="G20" s="165"/>
      <c r="H20" s="165"/>
      <c r="I20" s="165"/>
      <c r="J20" s="165"/>
      <c r="K20" s="165"/>
      <c r="L20" s="165"/>
      <c r="M20" s="165"/>
      <c r="N20" s="165"/>
      <c r="O20" s="165"/>
      <c r="P20" s="165"/>
      <c r="Q20" s="165"/>
      <c r="R20" s="165"/>
      <c r="S20" s="165"/>
      <c r="T20" s="165"/>
      <c r="U20" s="165"/>
      <c r="V20" s="165"/>
      <c r="W20" s="165"/>
      <c r="X20" s="165"/>
      <c r="Y20" s="165"/>
      <c r="Z20" s="165"/>
    </row>
    <row r="21" spans="2:26" x14ac:dyDescent="0.2">
      <c r="D21" s="165"/>
      <c r="E21" s="165"/>
      <c r="F21" s="165"/>
      <c r="G21" s="165"/>
      <c r="H21" s="165"/>
      <c r="I21" s="165"/>
      <c r="J21" s="165"/>
      <c r="K21" s="165"/>
      <c r="L21" s="165"/>
      <c r="M21" s="165"/>
      <c r="N21" s="165"/>
      <c r="O21" s="165"/>
      <c r="P21" s="165"/>
      <c r="Q21" s="165"/>
      <c r="R21" s="165"/>
      <c r="S21" s="165"/>
      <c r="T21" s="165"/>
      <c r="U21" s="165"/>
      <c r="V21" s="165"/>
      <c r="W21" s="165"/>
      <c r="X21" s="165"/>
      <c r="Y21" s="165"/>
      <c r="Z21" s="165"/>
    </row>
    <row r="22" spans="2:26" x14ac:dyDescent="0.2">
      <c r="D22" s="165"/>
      <c r="E22" s="165"/>
      <c r="F22" s="165"/>
      <c r="G22" s="165"/>
      <c r="H22" s="165"/>
      <c r="I22" s="165"/>
      <c r="J22" s="165"/>
      <c r="K22" s="165"/>
      <c r="L22" s="165"/>
      <c r="M22" s="165"/>
      <c r="N22" s="165"/>
      <c r="O22" s="165"/>
      <c r="P22" s="165"/>
      <c r="Q22" s="165"/>
      <c r="R22" s="165"/>
      <c r="S22" s="165"/>
      <c r="T22" s="165"/>
      <c r="U22" s="165"/>
      <c r="V22" s="165"/>
      <c r="W22" s="165"/>
      <c r="X22" s="165"/>
      <c r="Y22" s="165"/>
      <c r="Z22" s="165"/>
    </row>
    <row r="23" spans="2:26" x14ac:dyDescent="0.2">
      <c r="D23" s="165"/>
      <c r="E23" s="165"/>
      <c r="F23" s="165"/>
      <c r="G23" s="165"/>
      <c r="H23" s="165"/>
      <c r="I23" s="165"/>
      <c r="J23" s="165"/>
      <c r="K23" s="165"/>
      <c r="L23" s="165"/>
      <c r="M23" s="165"/>
      <c r="N23" s="165"/>
      <c r="O23" s="165"/>
      <c r="P23" s="165"/>
      <c r="Q23" s="165"/>
      <c r="R23" s="165"/>
      <c r="S23" s="165"/>
      <c r="T23" s="165"/>
      <c r="U23" s="165"/>
      <c r="V23" s="165"/>
      <c r="W23" s="165"/>
      <c r="X23" s="165"/>
      <c r="Y23" s="165"/>
      <c r="Z23" s="165"/>
    </row>
    <row r="24" spans="2:26" x14ac:dyDescent="0.2">
      <c r="D24" s="165"/>
      <c r="E24" s="165"/>
      <c r="F24" s="165"/>
      <c r="G24" s="165"/>
      <c r="H24" s="165"/>
      <c r="I24" s="165"/>
      <c r="J24" s="165"/>
      <c r="K24" s="165"/>
      <c r="L24" s="165"/>
      <c r="M24" s="165"/>
      <c r="N24" s="165"/>
      <c r="O24" s="165"/>
      <c r="P24" s="165"/>
      <c r="Q24" s="165"/>
      <c r="R24" s="165"/>
      <c r="S24" s="165"/>
      <c r="T24" s="165"/>
      <c r="U24" s="165"/>
      <c r="V24" s="165"/>
      <c r="W24" s="165"/>
      <c r="X24" s="165"/>
      <c r="Y24" s="165"/>
      <c r="Z24" s="165"/>
    </row>
    <row r="25" spans="2:26" x14ac:dyDescent="0.2">
      <c r="D25" s="165"/>
      <c r="E25" s="165"/>
      <c r="F25" s="165"/>
      <c r="G25" s="165"/>
      <c r="H25" s="165"/>
      <c r="I25" s="165"/>
      <c r="J25" s="165"/>
      <c r="K25" s="165"/>
      <c r="L25" s="165"/>
      <c r="M25" s="165"/>
      <c r="N25" s="165"/>
      <c r="O25" s="165"/>
      <c r="P25" s="165"/>
      <c r="Q25" s="165"/>
      <c r="R25" s="165"/>
      <c r="S25" s="165"/>
      <c r="T25" s="165"/>
      <c r="U25" s="165"/>
      <c r="V25" s="165"/>
      <c r="W25" s="165"/>
      <c r="X25" s="165"/>
      <c r="Y25" s="165"/>
      <c r="Z25" s="165"/>
    </row>
    <row r="26" spans="2:26" x14ac:dyDescent="0.2">
      <c r="D26" s="165"/>
      <c r="E26" s="165"/>
      <c r="F26" s="165"/>
      <c r="G26" s="165"/>
      <c r="H26" s="165"/>
      <c r="I26" s="165"/>
      <c r="J26" s="165"/>
      <c r="K26" s="165"/>
      <c r="L26" s="165"/>
      <c r="M26" s="165"/>
      <c r="N26" s="165"/>
      <c r="O26" s="165"/>
      <c r="P26" s="165"/>
      <c r="Q26" s="165"/>
      <c r="R26" s="165"/>
      <c r="S26" s="165"/>
      <c r="T26" s="165"/>
      <c r="U26" s="165"/>
      <c r="V26" s="165"/>
      <c r="W26" s="165"/>
      <c r="X26" s="165"/>
      <c r="Y26" s="165"/>
      <c r="Z26" s="165"/>
    </row>
    <row r="27" spans="2:26" x14ac:dyDescent="0.2">
      <c r="D27" s="165"/>
      <c r="E27" s="165"/>
      <c r="F27" s="165"/>
      <c r="G27" s="165"/>
      <c r="H27" s="165"/>
      <c r="I27" s="165"/>
      <c r="J27" s="165"/>
      <c r="K27" s="165"/>
      <c r="L27" s="165"/>
      <c r="M27" s="165"/>
      <c r="N27" s="165"/>
      <c r="O27" s="165"/>
      <c r="P27" s="165"/>
      <c r="Q27" s="165"/>
      <c r="R27" s="165"/>
      <c r="S27" s="165"/>
      <c r="T27" s="165"/>
      <c r="U27" s="165"/>
      <c r="V27" s="165"/>
      <c r="W27" s="165"/>
      <c r="X27" s="165"/>
      <c r="Y27" s="165"/>
      <c r="Z27" s="165"/>
    </row>
    <row r="28" spans="2:26" x14ac:dyDescent="0.2">
      <c r="D28" s="165"/>
      <c r="E28" s="165"/>
      <c r="F28" s="165"/>
      <c r="G28" s="165"/>
      <c r="H28" s="165"/>
      <c r="I28" s="165"/>
      <c r="J28" s="165"/>
      <c r="K28" s="165"/>
      <c r="L28" s="165"/>
      <c r="M28" s="165"/>
      <c r="N28" s="165"/>
      <c r="O28" s="165"/>
      <c r="P28" s="165"/>
      <c r="Q28" s="165"/>
      <c r="R28" s="165"/>
      <c r="S28" s="165"/>
      <c r="T28" s="165"/>
      <c r="U28" s="165"/>
      <c r="V28" s="165"/>
      <c r="W28" s="165"/>
      <c r="X28" s="165"/>
      <c r="Y28" s="165"/>
      <c r="Z28" s="165"/>
    </row>
    <row r="46" spans="4:4" ht="19.5" x14ac:dyDescent="0.25">
      <c r="D46" s="160"/>
    </row>
  </sheetData>
  <mergeCells count="14">
    <mergeCell ref="D25:Z25"/>
    <mergeCell ref="D26:Z26"/>
    <mergeCell ref="D27:Z27"/>
    <mergeCell ref="D28:Z28"/>
    <mergeCell ref="D20:Z20"/>
    <mergeCell ref="D21:Z21"/>
    <mergeCell ref="D22:Z22"/>
    <mergeCell ref="D23:Z23"/>
    <mergeCell ref="D24:Z24"/>
    <mergeCell ref="B6:P6"/>
    <mergeCell ref="B2:O2"/>
    <mergeCell ref="D17:Z17"/>
    <mergeCell ref="D18:Z18"/>
    <mergeCell ref="D19:Z1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L57"/>
  <sheetViews>
    <sheetView zoomScale="90" zoomScaleNormal="90" workbookViewId="0"/>
  </sheetViews>
  <sheetFormatPr defaultRowHeight="12.75" x14ac:dyDescent="0.2"/>
  <cols>
    <col min="1" max="1" width="9" style="91"/>
    <col min="2" max="2" width="31.625" style="91" customWidth="1"/>
    <col min="3" max="3" width="25.625" style="91" customWidth="1"/>
    <col min="4" max="11" width="11.625" style="91" customWidth="1"/>
    <col min="12" max="16384" width="9" style="91"/>
  </cols>
  <sheetData>
    <row r="1" spans="2:12" x14ac:dyDescent="0.2">
      <c r="L1" s="147" t="str">
        <f>Tooltype</f>
        <v>Freshwater calculator tool</v>
      </c>
    </row>
    <row r="2" spans="2:12" ht="21" customHeight="1" thickBot="1" x14ac:dyDescent="0.35">
      <c r="B2" s="191" t="s">
        <v>103</v>
      </c>
      <c r="C2" s="191"/>
      <c r="D2" s="191"/>
      <c r="E2" s="191"/>
      <c r="F2" s="191"/>
      <c r="G2" s="191"/>
      <c r="H2" s="191"/>
      <c r="I2" s="191"/>
      <c r="J2" s="191"/>
      <c r="K2" s="191"/>
      <c r="L2" s="191"/>
    </row>
    <row r="3" spans="2:12" ht="13.5" thickTop="1" x14ac:dyDescent="0.2">
      <c r="B3" s="148" t="str">
        <f>Tooltype</f>
        <v>Freshwater calculator tool</v>
      </c>
      <c r="C3" s="3"/>
      <c r="D3" s="3"/>
      <c r="E3" s="3"/>
      <c r="F3" s="3"/>
      <c r="G3" s="3"/>
      <c r="H3" s="3"/>
      <c r="I3" s="3"/>
      <c r="J3" s="3"/>
      <c r="K3" s="3"/>
    </row>
    <row r="4" spans="2:12" ht="15" x14ac:dyDescent="0.2">
      <c r="B4" s="193" t="s">
        <v>88</v>
      </c>
      <c r="C4" s="193"/>
      <c r="D4" s="193"/>
      <c r="E4" s="193"/>
      <c r="F4" s="3"/>
      <c r="G4" s="3"/>
      <c r="H4" s="3"/>
      <c r="I4" s="3"/>
      <c r="J4" s="3"/>
      <c r="K4" s="3"/>
    </row>
    <row r="5" spans="2:12" x14ac:dyDescent="0.2">
      <c r="B5" s="192" t="s">
        <v>202</v>
      </c>
      <c r="C5" s="192"/>
      <c r="D5" s="192"/>
      <c r="E5" s="104">
        <f>C_PNEC_Aquatic_Inside</f>
        <v>7.8</v>
      </c>
      <c r="F5" s="3"/>
      <c r="G5" s="3"/>
      <c r="H5" s="3"/>
      <c r="I5" s="3"/>
      <c r="J5" s="3"/>
      <c r="K5" s="3"/>
    </row>
    <row r="6" spans="2:12" x14ac:dyDescent="0.2">
      <c r="B6" s="192" t="s">
        <v>203</v>
      </c>
      <c r="C6" s="192"/>
      <c r="D6" s="192"/>
      <c r="E6" s="104">
        <f>C_PNEC_Sediment_Inside</f>
        <v>87</v>
      </c>
      <c r="F6" s="3"/>
      <c r="G6" s="3"/>
      <c r="H6" s="3"/>
      <c r="I6" s="3"/>
      <c r="J6" s="3"/>
      <c r="K6" s="3"/>
    </row>
    <row r="7" spans="2:12" x14ac:dyDescent="0.2">
      <c r="B7" s="192" t="s">
        <v>204</v>
      </c>
      <c r="C7" s="192"/>
      <c r="D7" s="192"/>
      <c r="E7" s="104">
        <f>C_PNEC_Aquatic_Surrounding</f>
        <v>7.8</v>
      </c>
      <c r="F7" s="3"/>
      <c r="G7" s="3"/>
      <c r="H7" s="3"/>
      <c r="I7" s="3"/>
      <c r="J7" s="3"/>
      <c r="K7" s="3"/>
    </row>
    <row r="8" spans="2:12" x14ac:dyDescent="0.2">
      <c r="B8" s="192" t="s">
        <v>205</v>
      </c>
      <c r="C8" s="192"/>
      <c r="D8" s="192"/>
      <c r="E8" s="104">
        <f>C_PNEC_Sediment_Surrounding</f>
        <v>87</v>
      </c>
      <c r="F8" s="3"/>
      <c r="G8" s="3"/>
      <c r="H8" s="3"/>
      <c r="I8" s="3"/>
      <c r="J8" s="3"/>
      <c r="K8" s="3"/>
    </row>
    <row r="9" spans="2:12" ht="13.5" thickBot="1" x14ac:dyDescent="0.25"/>
    <row r="10" spans="2:12" ht="15" x14ac:dyDescent="0.2">
      <c r="B10" s="194" t="s">
        <v>104</v>
      </c>
      <c r="C10" s="195"/>
      <c r="D10" s="195"/>
      <c r="E10" s="195"/>
      <c r="F10" s="195"/>
      <c r="G10" s="195"/>
    </row>
    <row r="11" spans="2:12" ht="99.95" customHeight="1" x14ac:dyDescent="0.2">
      <c r="B11" s="102" t="s">
        <v>9</v>
      </c>
      <c r="C11" s="102" t="s">
        <v>11</v>
      </c>
      <c r="D11" s="13" t="s">
        <v>210</v>
      </c>
      <c r="E11" s="13" t="s">
        <v>211</v>
      </c>
      <c r="F11" s="13" t="s">
        <v>212</v>
      </c>
      <c r="G11" s="13" t="s">
        <v>213</v>
      </c>
    </row>
    <row r="12" spans="2:12" ht="14.25" customHeight="1" x14ac:dyDescent="0.2">
      <c r="B12" s="105" t="s">
        <v>172</v>
      </c>
      <c r="C12" s="105" t="str">
        <f>Substance</f>
        <v>Copper and pyrithione</v>
      </c>
      <c r="D12" s="108" t="e">
        <f>'C+P_Regulatory_ Marinas_Calc'!D7</f>
        <v>#DIV/0!</v>
      </c>
      <c r="E12" s="108" t="e">
        <f>'C+P_Regulatory_ Marinas_Calc'!E7</f>
        <v>#DIV/0!</v>
      </c>
      <c r="F12" s="108" t="e">
        <f>'C+P_Regulatory_ Marinas_Calc'!F7</f>
        <v>#DIV/0!</v>
      </c>
      <c r="G12" s="108" t="e">
        <f>'C+P_Regulatory_ Marinas_Calc'!G7</f>
        <v>#DIV/0!</v>
      </c>
    </row>
    <row r="13" spans="2:12" ht="14.25" customHeight="1" x14ac:dyDescent="0.2">
      <c r="B13" s="105" t="s">
        <v>173</v>
      </c>
      <c r="C13" s="105" t="str">
        <f>Substance</f>
        <v>Copper and pyrithione</v>
      </c>
      <c r="D13" s="108" t="e">
        <f>'C+P_Regulatory_ Marinas_Calc'!D8</f>
        <v>#DIV/0!</v>
      </c>
      <c r="E13" s="108" t="e">
        <f>'C+P_Regulatory_ Marinas_Calc'!E8</f>
        <v>#DIV/0!</v>
      </c>
      <c r="F13" s="108" t="e">
        <f>'C+P_Regulatory_ Marinas_Calc'!F8</f>
        <v>#DIV/0!</v>
      </c>
      <c r="G13" s="108" t="e">
        <f>'C+P_Regulatory_ Marinas_Calc'!G8</f>
        <v>#DIV/0!</v>
      </c>
    </row>
    <row r="14" spans="2:12" ht="14.25" customHeight="1" x14ac:dyDescent="0.2"/>
    <row r="15" spans="2:12" ht="14.25" customHeight="1" x14ac:dyDescent="0.2"/>
    <row r="16" spans="2:12"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sheetData>
  <mergeCells count="7">
    <mergeCell ref="B10:G10"/>
    <mergeCell ref="B2:L2"/>
    <mergeCell ref="B4:E4"/>
    <mergeCell ref="B5:D5"/>
    <mergeCell ref="B6:D6"/>
    <mergeCell ref="B7:D7"/>
    <mergeCell ref="B8:D8"/>
  </mergeCells>
  <conditionalFormatting sqref="D12:G13">
    <cfRule type="cellIs" dxfId="14" priority="1" operator="lessThan">
      <formula>1</formula>
    </cfRule>
    <cfRule type="cellIs" dxfId="13" priority="2" operator="greaterThan">
      <formula>1</formula>
    </cfRule>
    <cfRule type="cellIs" dxfId="12" priority="3" operator="equal">
      <formula>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2:O78"/>
  <sheetViews>
    <sheetView zoomScale="90" zoomScaleNormal="90" workbookViewId="0"/>
  </sheetViews>
  <sheetFormatPr defaultRowHeight="12.75" x14ac:dyDescent="0.2"/>
  <cols>
    <col min="1" max="1" width="9" style="3"/>
    <col min="2" max="2" width="22.625" style="3" customWidth="1"/>
    <col min="3" max="3" width="4" style="3" bestFit="1" customWidth="1"/>
    <col min="4" max="4" width="5.75" style="3" bestFit="1" customWidth="1"/>
    <col min="5" max="5" width="25.625" style="3" customWidth="1"/>
    <col min="6" max="13" width="11.625" style="3" customWidth="1"/>
    <col min="14" max="16384" width="9" style="3"/>
  </cols>
  <sheetData>
    <row r="2" spans="2:14" ht="21" thickBot="1" x14ac:dyDescent="0.35">
      <c r="B2" s="191" t="s">
        <v>103</v>
      </c>
      <c r="C2" s="191"/>
      <c r="D2" s="191"/>
      <c r="E2" s="191"/>
      <c r="F2" s="191"/>
      <c r="G2" s="191"/>
      <c r="H2" s="191"/>
      <c r="I2" s="191"/>
      <c r="J2" s="191"/>
      <c r="K2" s="191"/>
      <c r="L2" s="191"/>
      <c r="M2" s="191"/>
      <c r="N2" s="191"/>
    </row>
    <row r="3" spans="2:14" ht="13.5" thickTop="1" x14ac:dyDescent="0.2">
      <c r="B3" s="148" t="str">
        <f>Tooltype</f>
        <v>Freshwater calculator tool</v>
      </c>
      <c r="C3" s="91"/>
      <c r="D3" s="91"/>
      <c r="E3" s="91"/>
      <c r="F3" s="91"/>
      <c r="G3" s="91"/>
      <c r="H3" s="91"/>
      <c r="I3" s="91"/>
      <c r="J3" s="91"/>
      <c r="K3" s="91"/>
      <c r="L3" s="91"/>
      <c r="M3" s="91"/>
    </row>
    <row r="4" spans="2:14" ht="15" x14ac:dyDescent="0.2">
      <c r="B4" s="193" t="s">
        <v>88</v>
      </c>
      <c r="C4" s="193"/>
      <c r="D4" s="193"/>
      <c r="E4" s="193"/>
      <c r="F4" s="193"/>
      <c r="G4" s="193"/>
      <c r="H4" s="91"/>
      <c r="I4" s="91"/>
      <c r="J4" s="91"/>
      <c r="K4" s="91"/>
      <c r="L4" s="91"/>
      <c r="M4" s="91"/>
    </row>
    <row r="5" spans="2:14" x14ac:dyDescent="0.2">
      <c r="B5" s="192" t="s">
        <v>202</v>
      </c>
      <c r="C5" s="192"/>
      <c r="D5" s="192"/>
      <c r="E5" s="192"/>
      <c r="F5" s="192"/>
      <c r="G5" s="104">
        <f>C_PNEC_Aquatic_Inside</f>
        <v>7.8</v>
      </c>
      <c r="I5" s="91"/>
      <c r="J5" s="91"/>
      <c r="K5" s="91"/>
      <c r="L5" s="91"/>
      <c r="M5" s="91"/>
    </row>
    <row r="6" spans="2:14" x14ac:dyDescent="0.2">
      <c r="B6" s="192" t="s">
        <v>203</v>
      </c>
      <c r="C6" s="192"/>
      <c r="D6" s="192"/>
      <c r="E6" s="192"/>
      <c r="F6" s="192"/>
      <c r="G6" s="104">
        <f>C_PNEC_Sediment_Inside</f>
        <v>87</v>
      </c>
      <c r="I6" s="91"/>
      <c r="J6" s="91"/>
      <c r="K6" s="91"/>
      <c r="L6" s="91"/>
      <c r="M6" s="91"/>
    </row>
    <row r="7" spans="2:14" x14ac:dyDescent="0.2">
      <c r="B7" s="192" t="s">
        <v>204</v>
      </c>
      <c r="C7" s="192"/>
      <c r="D7" s="192"/>
      <c r="E7" s="192"/>
      <c r="F7" s="192"/>
      <c r="G7" s="104">
        <f>C_PNEC_Aquatic_Surrounding</f>
        <v>7.8</v>
      </c>
      <c r="I7" s="91"/>
      <c r="J7" s="91"/>
      <c r="K7" s="91"/>
      <c r="L7" s="91"/>
      <c r="M7" s="91"/>
    </row>
    <row r="8" spans="2:14" x14ac:dyDescent="0.2">
      <c r="B8" s="192" t="s">
        <v>205</v>
      </c>
      <c r="C8" s="192"/>
      <c r="D8" s="192"/>
      <c r="E8" s="192"/>
      <c r="F8" s="192"/>
      <c r="G8" s="104">
        <f>C_PNEC_Sediment_Surrounding</f>
        <v>87</v>
      </c>
      <c r="I8" s="91"/>
      <c r="J8" s="91"/>
      <c r="K8" s="91"/>
      <c r="L8" s="91"/>
      <c r="M8" s="91"/>
    </row>
    <row r="10" spans="2:14" ht="15" x14ac:dyDescent="0.2">
      <c r="B10" s="171" t="s">
        <v>64</v>
      </c>
      <c r="C10" s="171"/>
      <c r="D10" s="171"/>
      <c r="E10" s="171"/>
      <c r="F10" s="171"/>
      <c r="G10" s="171"/>
      <c r="H10" s="171"/>
      <c r="I10" s="171"/>
      <c r="J10" s="171"/>
      <c r="K10" s="171"/>
      <c r="L10" s="171"/>
      <c r="M10" s="171"/>
    </row>
    <row r="11" spans="2:14" ht="99.95" customHeight="1" x14ac:dyDescent="0.2">
      <c r="B11" s="102" t="s">
        <v>9</v>
      </c>
      <c r="C11" s="93" t="s">
        <v>187</v>
      </c>
      <c r="D11" s="93" t="s">
        <v>186</v>
      </c>
      <c r="E11" s="102" t="s">
        <v>11</v>
      </c>
      <c r="F11" s="13" t="s">
        <v>73</v>
      </c>
      <c r="G11" s="13" t="s">
        <v>208</v>
      </c>
      <c r="H11" s="13" t="s">
        <v>74</v>
      </c>
      <c r="I11" s="13" t="s">
        <v>209</v>
      </c>
      <c r="J11" s="13" t="s">
        <v>210</v>
      </c>
      <c r="K11" s="13" t="s">
        <v>211</v>
      </c>
      <c r="L11" s="13" t="s">
        <v>212</v>
      </c>
      <c r="M11" s="13" t="s">
        <v>213</v>
      </c>
    </row>
    <row r="12" spans="2:14" ht="14.25" x14ac:dyDescent="0.2">
      <c r="B12" s="103" t="s">
        <v>106</v>
      </c>
      <c r="C12" s="75" t="s">
        <v>107</v>
      </c>
      <c r="D12" s="75">
        <v>1</v>
      </c>
      <c r="E12" s="103" t="str">
        <f t="shared" ref="E12:E57" si="0">C_Compound_Name</f>
        <v>Copper</v>
      </c>
      <c r="F12" s="76" t="e">
        <f>'C_EU Marinas_Scenario_Calc'!K21</f>
        <v>#DIV/0!</v>
      </c>
      <c r="G12" s="76" t="e">
        <f>'C_EU Marinas_Scenario_Calc'!L21</f>
        <v>#DIV/0!</v>
      </c>
      <c r="H12" s="76" t="e">
        <f>'C_EU Marinas_Scenario_Calc'!M21</f>
        <v>#DIV/0!</v>
      </c>
      <c r="I12" s="76" t="e">
        <f>'C_EU Marinas_Scenario_Calc'!N21</f>
        <v>#DIV/0!</v>
      </c>
      <c r="J12" s="76" t="e">
        <f>'C_EU Marinas_Scenario_Calc'!S21</f>
        <v>#DIV/0!</v>
      </c>
      <c r="K12" s="76" t="e">
        <f>'C_EU Marinas_Scenario_Calc'!T21</f>
        <v>#DIV/0!</v>
      </c>
      <c r="L12" s="76" t="e">
        <f>'C_EU Marinas_Scenario_Calc'!U21</f>
        <v>#DIV/0!</v>
      </c>
      <c r="M12" s="76" t="e">
        <f>'C_EU Marinas_Scenario_Calc'!V21</f>
        <v>#DIV/0!</v>
      </c>
    </row>
    <row r="13" spans="2:14" ht="14.25" x14ac:dyDescent="0.2">
      <c r="B13" s="103" t="s">
        <v>108</v>
      </c>
      <c r="C13" s="75" t="s">
        <v>107</v>
      </c>
      <c r="D13" s="75">
        <v>2</v>
      </c>
      <c r="E13" s="103" t="str">
        <f t="shared" si="0"/>
        <v>Copper</v>
      </c>
      <c r="F13" s="76" t="e">
        <f>'C_EU Marinas_Scenario_Calc'!K22</f>
        <v>#DIV/0!</v>
      </c>
      <c r="G13" s="76" t="e">
        <f>'C_EU Marinas_Scenario_Calc'!L22</f>
        <v>#DIV/0!</v>
      </c>
      <c r="H13" s="76" t="e">
        <f>'C_EU Marinas_Scenario_Calc'!M22</f>
        <v>#DIV/0!</v>
      </c>
      <c r="I13" s="76" t="e">
        <f>'C_EU Marinas_Scenario_Calc'!N22</f>
        <v>#DIV/0!</v>
      </c>
      <c r="J13" s="76" t="e">
        <f>'C_EU Marinas_Scenario_Calc'!S22</f>
        <v>#DIV/0!</v>
      </c>
      <c r="K13" s="76" t="e">
        <f>'C_EU Marinas_Scenario_Calc'!T22</f>
        <v>#DIV/0!</v>
      </c>
      <c r="L13" s="76" t="e">
        <f>'C_EU Marinas_Scenario_Calc'!U22</f>
        <v>#DIV/0!</v>
      </c>
      <c r="M13" s="76" t="e">
        <f>'C_EU Marinas_Scenario_Calc'!V22</f>
        <v>#DIV/0!</v>
      </c>
    </row>
    <row r="14" spans="2:14" ht="14.25" x14ac:dyDescent="0.2">
      <c r="B14" s="103" t="s">
        <v>109</v>
      </c>
      <c r="C14" s="75" t="s">
        <v>107</v>
      </c>
      <c r="D14" s="75">
        <v>3</v>
      </c>
      <c r="E14" s="103" t="str">
        <f t="shared" si="0"/>
        <v>Copper</v>
      </c>
      <c r="F14" s="76" t="e">
        <f>'C_EU Marinas_Scenario_Calc'!K23</f>
        <v>#DIV/0!</v>
      </c>
      <c r="G14" s="76" t="e">
        <f>'C_EU Marinas_Scenario_Calc'!L23</f>
        <v>#DIV/0!</v>
      </c>
      <c r="H14" s="76" t="e">
        <f>'C_EU Marinas_Scenario_Calc'!M23</f>
        <v>#DIV/0!</v>
      </c>
      <c r="I14" s="76" t="e">
        <f>'C_EU Marinas_Scenario_Calc'!N23</f>
        <v>#DIV/0!</v>
      </c>
      <c r="J14" s="76" t="e">
        <f>'C_EU Marinas_Scenario_Calc'!S23</f>
        <v>#DIV/0!</v>
      </c>
      <c r="K14" s="76" t="e">
        <f>'C_EU Marinas_Scenario_Calc'!T23</f>
        <v>#DIV/0!</v>
      </c>
      <c r="L14" s="76" t="e">
        <f>'C_EU Marinas_Scenario_Calc'!U23</f>
        <v>#DIV/0!</v>
      </c>
      <c r="M14" s="76" t="e">
        <f>'C_EU Marinas_Scenario_Calc'!V23</f>
        <v>#DIV/0!</v>
      </c>
    </row>
    <row r="15" spans="2:14" ht="14.25" x14ac:dyDescent="0.2">
      <c r="B15" s="103" t="s">
        <v>110</v>
      </c>
      <c r="C15" s="75" t="s">
        <v>107</v>
      </c>
      <c r="D15" s="75">
        <v>4</v>
      </c>
      <c r="E15" s="103" t="str">
        <f t="shared" si="0"/>
        <v>Copper</v>
      </c>
      <c r="F15" s="76" t="e">
        <f>'C_EU Marinas_Scenario_Calc'!K24</f>
        <v>#DIV/0!</v>
      </c>
      <c r="G15" s="76" t="e">
        <f>'C_EU Marinas_Scenario_Calc'!L24</f>
        <v>#DIV/0!</v>
      </c>
      <c r="H15" s="76" t="e">
        <f>'C_EU Marinas_Scenario_Calc'!M24</f>
        <v>#DIV/0!</v>
      </c>
      <c r="I15" s="76" t="e">
        <f>'C_EU Marinas_Scenario_Calc'!N24</f>
        <v>#DIV/0!</v>
      </c>
      <c r="J15" s="76" t="e">
        <f>'C_EU Marinas_Scenario_Calc'!S24</f>
        <v>#DIV/0!</v>
      </c>
      <c r="K15" s="76" t="e">
        <f>'C_EU Marinas_Scenario_Calc'!T24</f>
        <v>#DIV/0!</v>
      </c>
      <c r="L15" s="76" t="e">
        <f>'C_EU Marinas_Scenario_Calc'!U24</f>
        <v>#DIV/0!</v>
      </c>
      <c r="M15" s="76" t="e">
        <f>'C_EU Marinas_Scenario_Calc'!V24</f>
        <v>#DIV/0!</v>
      </c>
    </row>
    <row r="16" spans="2:14" ht="14.25" x14ac:dyDescent="0.2">
      <c r="B16" s="103" t="s">
        <v>111</v>
      </c>
      <c r="C16" s="75" t="s">
        <v>107</v>
      </c>
      <c r="D16" s="75">
        <v>5</v>
      </c>
      <c r="E16" s="103" t="str">
        <f t="shared" si="0"/>
        <v>Copper</v>
      </c>
      <c r="F16" s="76" t="e">
        <f>'C_EU Marinas_Scenario_Calc'!K25</f>
        <v>#DIV/0!</v>
      </c>
      <c r="G16" s="76" t="e">
        <f>'C_EU Marinas_Scenario_Calc'!L25</f>
        <v>#DIV/0!</v>
      </c>
      <c r="H16" s="76" t="e">
        <f>'C_EU Marinas_Scenario_Calc'!M25</f>
        <v>#DIV/0!</v>
      </c>
      <c r="I16" s="76" t="e">
        <f>'C_EU Marinas_Scenario_Calc'!N25</f>
        <v>#DIV/0!</v>
      </c>
      <c r="J16" s="76" t="e">
        <f>'C_EU Marinas_Scenario_Calc'!S25</f>
        <v>#DIV/0!</v>
      </c>
      <c r="K16" s="76" t="e">
        <f>'C_EU Marinas_Scenario_Calc'!T25</f>
        <v>#DIV/0!</v>
      </c>
      <c r="L16" s="76" t="e">
        <f>'C_EU Marinas_Scenario_Calc'!U25</f>
        <v>#DIV/0!</v>
      </c>
      <c r="M16" s="76" t="e">
        <f>'C_EU Marinas_Scenario_Calc'!V25</f>
        <v>#DIV/0!</v>
      </c>
    </row>
    <row r="17" spans="2:13" ht="14.25" x14ac:dyDescent="0.2">
      <c r="B17" s="103" t="s">
        <v>112</v>
      </c>
      <c r="C17" s="75" t="s">
        <v>107</v>
      </c>
      <c r="D17" s="75">
        <v>6</v>
      </c>
      <c r="E17" s="103" t="str">
        <f t="shared" si="0"/>
        <v>Copper</v>
      </c>
      <c r="F17" s="76" t="e">
        <f>'C_EU Marinas_Scenario_Calc'!K26</f>
        <v>#DIV/0!</v>
      </c>
      <c r="G17" s="76" t="e">
        <f>'C_EU Marinas_Scenario_Calc'!L26</f>
        <v>#DIV/0!</v>
      </c>
      <c r="H17" s="76" t="e">
        <f>'C_EU Marinas_Scenario_Calc'!M26</f>
        <v>#DIV/0!</v>
      </c>
      <c r="I17" s="76" t="e">
        <f>'C_EU Marinas_Scenario_Calc'!N26</f>
        <v>#DIV/0!</v>
      </c>
      <c r="J17" s="76" t="e">
        <f>'C_EU Marinas_Scenario_Calc'!S26</f>
        <v>#DIV/0!</v>
      </c>
      <c r="K17" s="76" t="e">
        <f>'C_EU Marinas_Scenario_Calc'!T26</f>
        <v>#DIV/0!</v>
      </c>
      <c r="L17" s="76" t="e">
        <f>'C_EU Marinas_Scenario_Calc'!U26</f>
        <v>#DIV/0!</v>
      </c>
      <c r="M17" s="76" t="e">
        <f>'C_EU Marinas_Scenario_Calc'!V26</f>
        <v>#DIV/0!</v>
      </c>
    </row>
    <row r="18" spans="2:13" ht="14.25" x14ac:dyDescent="0.2">
      <c r="B18" s="103" t="s">
        <v>113</v>
      </c>
      <c r="C18" s="75" t="s">
        <v>107</v>
      </c>
      <c r="D18" s="75">
        <v>7</v>
      </c>
      <c r="E18" s="103" t="str">
        <f t="shared" si="0"/>
        <v>Copper</v>
      </c>
      <c r="F18" s="76" t="e">
        <f>'C_EU Marinas_Scenario_Calc'!K27</f>
        <v>#DIV/0!</v>
      </c>
      <c r="G18" s="76" t="e">
        <f>'C_EU Marinas_Scenario_Calc'!L27</f>
        <v>#DIV/0!</v>
      </c>
      <c r="H18" s="76" t="e">
        <f>'C_EU Marinas_Scenario_Calc'!M27</f>
        <v>#DIV/0!</v>
      </c>
      <c r="I18" s="76" t="e">
        <f>'C_EU Marinas_Scenario_Calc'!N27</f>
        <v>#DIV/0!</v>
      </c>
      <c r="J18" s="76" t="e">
        <f>'C_EU Marinas_Scenario_Calc'!S27</f>
        <v>#DIV/0!</v>
      </c>
      <c r="K18" s="76" t="e">
        <f>'C_EU Marinas_Scenario_Calc'!T27</f>
        <v>#DIV/0!</v>
      </c>
      <c r="L18" s="76" t="e">
        <f>'C_EU Marinas_Scenario_Calc'!U27</f>
        <v>#DIV/0!</v>
      </c>
      <c r="M18" s="76" t="e">
        <f>'C_EU Marinas_Scenario_Calc'!V27</f>
        <v>#DIV/0!</v>
      </c>
    </row>
    <row r="19" spans="2:13" ht="14.25" x14ac:dyDescent="0.2">
      <c r="B19" s="103" t="s">
        <v>114</v>
      </c>
      <c r="C19" s="75" t="s">
        <v>115</v>
      </c>
      <c r="D19" s="75">
        <v>2</v>
      </c>
      <c r="E19" s="103" t="str">
        <f t="shared" si="0"/>
        <v>Copper</v>
      </c>
      <c r="F19" s="76" t="e">
        <f>'C_EU Marinas_Scenario_Calc'!K28</f>
        <v>#DIV/0!</v>
      </c>
      <c r="G19" s="76" t="e">
        <f>'C_EU Marinas_Scenario_Calc'!L28</f>
        <v>#DIV/0!</v>
      </c>
      <c r="H19" s="76" t="e">
        <f>'C_EU Marinas_Scenario_Calc'!M28</f>
        <v>#DIV/0!</v>
      </c>
      <c r="I19" s="76" t="e">
        <f>'C_EU Marinas_Scenario_Calc'!N28</f>
        <v>#DIV/0!</v>
      </c>
      <c r="J19" s="76" t="e">
        <f>'C_EU Marinas_Scenario_Calc'!S28</f>
        <v>#DIV/0!</v>
      </c>
      <c r="K19" s="76" t="e">
        <f>'C_EU Marinas_Scenario_Calc'!T28</f>
        <v>#DIV/0!</v>
      </c>
      <c r="L19" s="76" t="e">
        <f>'C_EU Marinas_Scenario_Calc'!U28</f>
        <v>#DIV/0!</v>
      </c>
      <c r="M19" s="76" t="e">
        <f>'C_EU Marinas_Scenario_Calc'!V28</f>
        <v>#DIV/0!</v>
      </c>
    </row>
    <row r="20" spans="2:13" ht="14.25" x14ac:dyDescent="0.2">
      <c r="B20" s="103" t="s">
        <v>116</v>
      </c>
      <c r="C20" s="75" t="s">
        <v>115</v>
      </c>
      <c r="D20" s="75">
        <v>3</v>
      </c>
      <c r="E20" s="103" t="str">
        <f t="shared" si="0"/>
        <v>Copper</v>
      </c>
      <c r="F20" s="76" t="e">
        <f>'C_EU Marinas_Scenario_Calc'!K29</f>
        <v>#DIV/0!</v>
      </c>
      <c r="G20" s="76" t="e">
        <f>'C_EU Marinas_Scenario_Calc'!L29</f>
        <v>#DIV/0!</v>
      </c>
      <c r="H20" s="76" t="e">
        <f>'C_EU Marinas_Scenario_Calc'!M29</f>
        <v>#DIV/0!</v>
      </c>
      <c r="I20" s="76" t="e">
        <f>'C_EU Marinas_Scenario_Calc'!N29</f>
        <v>#DIV/0!</v>
      </c>
      <c r="J20" s="76" t="e">
        <f>'C_EU Marinas_Scenario_Calc'!S29</f>
        <v>#DIV/0!</v>
      </c>
      <c r="K20" s="76" t="e">
        <f>'C_EU Marinas_Scenario_Calc'!T29</f>
        <v>#DIV/0!</v>
      </c>
      <c r="L20" s="76" t="e">
        <f>'C_EU Marinas_Scenario_Calc'!U29</f>
        <v>#DIV/0!</v>
      </c>
      <c r="M20" s="76" t="e">
        <f>'C_EU Marinas_Scenario_Calc'!V29</f>
        <v>#DIV/0!</v>
      </c>
    </row>
    <row r="21" spans="2:13" ht="14.25" x14ac:dyDescent="0.2">
      <c r="B21" s="103" t="s">
        <v>117</v>
      </c>
      <c r="C21" s="75" t="s">
        <v>115</v>
      </c>
      <c r="D21" s="75">
        <v>5</v>
      </c>
      <c r="E21" s="103" t="str">
        <f t="shared" si="0"/>
        <v>Copper</v>
      </c>
      <c r="F21" s="76" t="e">
        <f>'C_EU Marinas_Scenario_Calc'!K30</f>
        <v>#DIV/0!</v>
      </c>
      <c r="G21" s="76" t="e">
        <f>'C_EU Marinas_Scenario_Calc'!L30</f>
        <v>#DIV/0!</v>
      </c>
      <c r="H21" s="76" t="e">
        <f>'C_EU Marinas_Scenario_Calc'!M30</f>
        <v>#DIV/0!</v>
      </c>
      <c r="I21" s="76" t="e">
        <f>'C_EU Marinas_Scenario_Calc'!N30</f>
        <v>#DIV/0!</v>
      </c>
      <c r="J21" s="76" t="e">
        <f>'C_EU Marinas_Scenario_Calc'!S30</f>
        <v>#DIV/0!</v>
      </c>
      <c r="K21" s="76" t="e">
        <f>'C_EU Marinas_Scenario_Calc'!T30</f>
        <v>#DIV/0!</v>
      </c>
      <c r="L21" s="76" t="e">
        <f>'C_EU Marinas_Scenario_Calc'!U30</f>
        <v>#DIV/0!</v>
      </c>
      <c r="M21" s="76" t="e">
        <f>'C_EU Marinas_Scenario_Calc'!V30</f>
        <v>#DIV/0!</v>
      </c>
    </row>
    <row r="22" spans="2:13" ht="14.25" x14ac:dyDescent="0.2">
      <c r="B22" s="103" t="s">
        <v>118</v>
      </c>
      <c r="C22" s="75" t="s">
        <v>115</v>
      </c>
      <c r="D22" s="75">
        <v>6</v>
      </c>
      <c r="E22" s="103" t="str">
        <f t="shared" si="0"/>
        <v>Copper</v>
      </c>
      <c r="F22" s="76" t="e">
        <f>'C_EU Marinas_Scenario_Calc'!K31</f>
        <v>#DIV/0!</v>
      </c>
      <c r="G22" s="76" t="e">
        <f>'C_EU Marinas_Scenario_Calc'!L31</f>
        <v>#DIV/0!</v>
      </c>
      <c r="H22" s="76" t="e">
        <f>'C_EU Marinas_Scenario_Calc'!M31</f>
        <v>#DIV/0!</v>
      </c>
      <c r="I22" s="76" t="e">
        <f>'C_EU Marinas_Scenario_Calc'!N31</f>
        <v>#DIV/0!</v>
      </c>
      <c r="J22" s="76" t="e">
        <f>'C_EU Marinas_Scenario_Calc'!S31</f>
        <v>#DIV/0!</v>
      </c>
      <c r="K22" s="76" t="e">
        <f>'C_EU Marinas_Scenario_Calc'!T31</f>
        <v>#DIV/0!</v>
      </c>
      <c r="L22" s="76" t="e">
        <f>'C_EU Marinas_Scenario_Calc'!U31</f>
        <v>#DIV/0!</v>
      </c>
      <c r="M22" s="76" t="e">
        <f>'C_EU Marinas_Scenario_Calc'!V31</f>
        <v>#DIV/0!</v>
      </c>
    </row>
    <row r="23" spans="2:13" ht="14.25" x14ac:dyDescent="0.2">
      <c r="B23" s="103" t="s">
        <v>119</v>
      </c>
      <c r="C23" s="75" t="s">
        <v>115</v>
      </c>
      <c r="D23" s="75">
        <v>11</v>
      </c>
      <c r="E23" s="103" t="str">
        <f t="shared" si="0"/>
        <v>Copper</v>
      </c>
      <c r="F23" s="76" t="e">
        <f>'C_EU Marinas_Scenario_Calc'!K32</f>
        <v>#DIV/0!</v>
      </c>
      <c r="G23" s="76" t="e">
        <f>'C_EU Marinas_Scenario_Calc'!L32</f>
        <v>#DIV/0!</v>
      </c>
      <c r="H23" s="76" t="e">
        <f>'C_EU Marinas_Scenario_Calc'!M32</f>
        <v>#DIV/0!</v>
      </c>
      <c r="I23" s="76" t="e">
        <f>'C_EU Marinas_Scenario_Calc'!N32</f>
        <v>#DIV/0!</v>
      </c>
      <c r="J23" s="76" t="e">
        <f>'C_EU Marinas_Scenario_Calc'!S32</f>
        <v>#DIV/0!</v>
      </c>
      <c r="K23" s="76" t="e">
        <f>'C_EU Marinas_Scenario_Calc'!T32</f>
        <v>#DIV/0!</v>
      </c>
      <c r="L23" s="76" t="e">
        <f>'C_EU Marinas_Scenario_Calc'!U32</f>
        <v>#DIV/0!</v>
      </c>
      <c r="M23" s="76" t="e">
        <f>'C_EU Marinas_Scenario_Calc'!V32</f>
        <v>#DIV/0!</v>
      </c>
    </row>
    <row r="24" spans="2:13" ht="14.25" x14ac:dyDescent="0.2">
      <c r="B24" s="103" t="s">
        <v>120</v>
      </c>
      <c r="C24" s="75" t="s">
        <v>115</v>
      </c>
      <c r="D24" s="75">
        <v>12</v>
      </c>
      <c r="E24" s="103" t="str">
        <f t="shared" si="0"/>
        <v>Copper</v>
      </c>
      <c r="F24" s="76" t="e">
        <f>'C_EU Marinas_Scenario_Calc'!K33</f>
        <v>#DIV/0!</v>
      </c>
      <c r="G24" s="76" t="e">
        <f>'C_EU Marinas_Scenario_Calc'!L33</f>
        <v>#DIV/0!</v>
      </c>
      <c r="H24" s="76" t="e">
        <f>'C_EU Marinas_Scenario_Calc'!M33</f>
        <v>#DIV/0!</v>
      </c>
      <c r="I24" s="76" t="e">
        <f>'C_EU Marinas_Scenario_Calc'!N33</f>
        <v>#DIV/0!</v>
      </c>
      <c r="J24" s="76" t="e">
        <f>'C_EU Marinas_Scenario_Calc'!S33</f>
        <v>#DIV/0!</v>
      </c>
      <c r="K24" s="76" t="e">
        <f>'C_EU Marinas_Scenario_Calc'!T33</f>
        <v>#DIV/0!</v>
      </c>
      <c r="L24" s="76" t="e">
        <f>'C_EU Marinas_Scenario_Calc'!U33</f>
        <v>#DIV/0!</v>
      </c>
      <c r="M24" s="76" t="e">
        <f>'C_EU Marinas_Scenario_Calc'!V33</f>
        <v>#DIV/0!</v>
      </c>
    </row>
    <row r="25" spans="2:13" ht="14.25" x14ac:dyDescent="0.2">
      <c r="B25" s="103" t="s">
        <v>121</v>
      </c>
      <c r="C25" s="75" t="s">
        <v>12</v>
      </c>
      <c r="D25" s="75" t="s">
        <v>122</v>
      </c>
      <c r="E25" s="103" t="str">
        <f t="shared" si="0"/>
        <v>Copper</v>
      </c>
      <c r="F25" s="76" t="e">
        <f>'C_EU Marinas_Scenario_Calc'!K34</f>
        <v>#DIV/0!</v>
      </c>
      <c r="G25" s="76" t="e">
        <f>'C_EU Marinas_Scenario_Calc'!L34</f>
        <v>#DIV/0!</v>
      </c>
      <c r="H25" s="76" t="e">
        <f>'C_EU Marinas_Scenario_Calc'!M34</f>
        <v>#DIV/0!</v>
      </c>
      <c r="I25" s="76" t="e">
        <f>'C_EU Marinas_Scenario_Calc'!N34</f>
        <v>#DIV/0!</v>
      </c>
      <c r="J25" s="76" t="e">
        <f>'C_EU Marinas_Scenario_Calc'!S34</f>
        <v>#DIV/0!</v>
      </c>
      <c r="K25" s="76" t="e">
        <f>'C_EU Marinas_Scenario_Calc'!T34</f>
        <v>#DIV/0!</v>
      </c>
      <c r="L25" s="76" t="e">
        <f>'C_EU Marinas_Scenario_Calc'!U34</f>
        <v>#DIV/0!</v>
      </c>
      <c r="M25" s="76" t="e">
        <f>'C_EU Marinas_Scenario_Calc'!V34</f>
        <v>#DIV/0!</v>
      </c>
    </row>
    <row r="26" spans="2:13" ht="14.25" x14ac:dyDescent="0.2">
      <c r="B26" s="103" t="s">
        <v>123</v>
      </c>
      <c r="C26" s="75" t="s">
        <v>12</v>
      </c>
      <c r="D26" s="75" t="s">
        <v>124</v>
      </c>
      <c r="E26" s="103" t="str">
        <f t="shared" si="0"/>
        <v>Copper</v>
      </c>
      <c r="F26" s="76" t="e">
        <f>'C_EU Marinas_Scenario_Calc'!K35</f>
        <v>#DIV/0!</v>
      </c>
      <c r="G26" s="76" t="e">
        <f>'C_EU Marinas_Scenario_Calc'!L35</f>
        <v>#DIV/0!</v>
      </c>
      <c r="H26" s="76" t="e">
        <f>'C_EU Marinas_Scenario_Calc'!M35</f>
        <v>#DIV/0!</v>
      </c>
      <c r="I26" s="76" t="e">
        <f>'C_EU Marinas_Scenario_Calc'!N35</f>
        <v>#DIV/0!</v>
      </c>
      <c r="J26" s="76" t="e">
        <f>'C_EU Marinas_Scenario_Calc'!S35</f>
        <v>#DIV/0!</v>
      </c>
      <c r="K26" s="76" t="e">
        <f>'C_EU Marinas_Scenario_Calc'!T35</f>
        <v>#DIV/0!</v>
      </c>
      <c r="L26" s="76" t="e">
        <f>'C_EU Marinas_Scenario_Calc'!U35</f>
        <v>#DIV/0!</v>
      </c>
      <c r="M26" s="76" t="e">
        <f>'C_EU Marinas_Scenario_Calc'!V35</f>
        <v>#DIV/0!</v>
      </c>
    </row>
    <row r="27" spans="2:13" ht="14.25" x14ac:dyDescent="0.2">
      <c r="B27" s="103" t="s">
        <v>125</v>
      </c>
      <c r="C27" s="75" t="s">
        <v>12</v>
      </c>
      <c r="D27" s="75" t="s">
        <v>126</v>
      </c>
      <c r="E27" s="103" t="str">
        <f t="shared" si="0"/>
        <v>Copper</v>
      </c>
      <c r="F27" s="76" t="e">
        <f>'C_EU Marinas_Scenario_Calc'!K36</f>
        <v>#DIV/0!</v>
      </c>
      <c r="G27" s="76" t="e">
        <f>'C_EU Marinas_Scenario_Calc'!L36</f>
        <v>#DIV/0!</v>
      </c>
      <c r="H27" s="76" t="e">
        <f>'C_EU Marinas_Scenario_Calc'!M36</f>
        <v>#DIV/0!</v>
      </c>
      <c r="I27" s="76" t="e">
        <f>'C_EU Marinas_Scenario_Calc'!N36</f>
        <v>#DIV/0!</v>
      </c>
      <c r="J27" s="76" t="e">
        <f>'C_EU Marinas_Scenario_Calc'!S36</f>
        <v>#DIV/0!</v>
      </c>
      <c r="K27" s="76" t="e">
        <f>'C_EU Marinas_Scenario_Calc'!T36</f>
        <v>#DIV/0!</v>
      </c>
      <c r="L27" s="76" t="e">
        <f>'C_EU Marinas_Scenario_Calc'!U36</f>
        <v>#DIV/0!</v>
      </c>
      <c r="M27" s="76" t="e">
        <f>'C_EU Marinas_Scenario_Calc'!V36</f>
        <v>#DIV/0!</v>
      </c>
    </row>
    <row r="28" spans="2:13" ht="14.25" x14ac:dyDescent="0.2">
      <c r="B28" s="103" t="s">
        <v>127</v>
      </c>
      <c r="C28" s="75" t="s">
        <v>12</v>
      </c>
      <c r="D28" s="75" t="s">
        <v>128</v>
      </c>
      <c r="E28" s="103" t="str">
        <f t="shared" si="0"/>
        <v>Copper</v>
      </c>
      <c r="F28" s="76" t="e">
        <f>'C_EU Marinas_Scenario_Calc'!K37</f>
        <v>#DIV/0!</v>
      </c>
      <c r="G28" s="76" t="e">
        <f>'C_EU Marinas_Scenario_Calc'!L37</f>
        <v>#DIV/0!</v>
      </c>
      <c r="H28" s="76" t="e">
        <f>'C_EU Marinas_Scenario_Calc'!M37</f>
        <v>#DIV/0!</v>
      </c>
      <c r="I28" s="76" t="e">
        <f>'C_EU Marinas_Scenario_Calc'!N37</f>
        <v>#DIV/0!</v>
      </c>
      <c r="J28" s="76" t="e">
        <f>'C_EU Marinas_Scenario_Calc'!S37</f>
        <v>#DIV/0!</v>
      </c>
      <c r="K28" s="76" t="e">
        <f>'C_EU Marinas_Scenario_Calc'!T37</f>
        <v>#DIV/0!</v>
      </c>
      <c r="L28" s="76" t="e">
        <f>'C_EU Marinas_Scenario_Calc'!U37</f>
        <v>#DIV/0!</v>
      </c>
      <c r="M28" s="76" t="e">
        <f>'C_EU Marinas_Scenario_Calc'!V37</f>
        <v>#DIV/0!</v>
      </c>
    </row>
    <row r="29" spans="2:13" ht="14.25" x14ac:dyDescent="0.2">
      <c r="B29" s="103" t="s">
        <v>129</v>
      </c>
      <c r="C29" s="75" t="s">
        <v>12</v>
      </c>
      <c r="D29" s="75" t="s">
        <v>130</v>
      </c>
      <c r="E29" s="103" t="str">
        <f t="shared" si="0"/>
        <v>Copper</v>
      </c>
      <c r="F29" s="76" t="e">
        <f>'C_EU Marinas_Scenario_Calc'!K38</f>
        <v>#DIV/0!</v>
      </c>
      <c r="G29" s="76" t="e">
        <f>'C_EU Marinas_Scenario_Calc'!L38</f>
        <v>#DIV/0!</v>
      </c>
      <c r="H29" s="76" t="e">
        <f>'C_EU Marinas_Scenario_Calc'!M38</f>
        <v>#DIV/0!</v>
      </c>
      <c r="I29" s="76" t="e">
        <f>'C_EU Marinas_Scenario_Calc'!N38</f>
        <v>#DIV/0!</v>
      </c>
      <c r="J29" s="76" t="e">
        <f>'C_EU Marinas_Scenario_Calc'!S38</f>
        <v>#DIV/0!</v>
      </c>
      <c r="K29" s="76" t="e">
        <f>'C_EU Marinas_Scenario_Calc'!T38</f>
        <v>#DIV/0!</v>
      </c>
      <c r="L29" s="76" t="e">
        <f>'C_EU Marinas_Scenario_Calc'!U38</f>
        <v>#DIV/0!</v>
      </c>
      <c r="M29" s="76" t="e">
        <f>'C_EU Marinas_Scenario_Calc'!V38</f>
        <v>#DIV/0!</v>
      </c>
    </row>
    <row r="30" spans="2:13" ht="14.25" x14ac:dyDescent="0.2">
      <c r="B30" s="103" t="s">
        <v>131</v>
      </c>
      <c r="C30" s="75" t="s">
        <v>12</v>
      </c>
      <c r="D30" s="75" t="s">
        <v>132</v>
      </c>
      <c r="E30" s="103" t="str">
        <f t="shared" si="0"/>
        <v>Copper</v>
      </c>
      <c r="F30" s="76" t="e">
        <f>'C_EU Marinas_Scenario_Calc'!K39</f>
        <v>#DIV/0!</v>
      </c>
      <c r="G30" s="76" t="e">
        <f>'C_EU Marinas_Scenario_Calc'!L39</f>
        <v>#DIV/0!</v>
      </c>
      <c r="H30" s="76" t="e">
        <f>'C_EU Marinas_Scenario_Calc'!M39</f>
        <v>#DIV/0!</v>
      </c>
      <c r="I30" s="76" t="e">
        <f>'C_EU Marinas_Scenario_Calc'!N39</f>
        <v>#DIV/0!</v>
      </c>
      <c r="J30" s="76" t="e">
        <f>'C_EU Marinas_Scenario_Calc'!S39</f>
        <v>#DIV/0!</v>
      </c>
      <c r="K30" s="76" t="e">
        <f>'C_EU Marinas_Scenario_Calc'!T39</f>
        <v>#DIV/0!</v>
      </c>
      <c r="L30" s="76" t="e">
        <f>'C_EU Marinas_Scenario_Calc'!U39</f>
        <v>#DIV/0!</v>
      </c>
      <c r="M30" s="76" t="e">
        <f>'C_EU Marinas_Scenario_Calc'!V39</f>
        <v>#DIV/0!</v>
      </c>
    </row>
    <row r="31" spans="2:13" ht="14.25" x14ac:dyDescent="0.2">
      <c r="B31" s="103" t="s">
        <v>133</v>
      </c>
      <c r="C31" s="75" t="s">
        <v>12</v>
      </c>
      <c r="D31" s="75" t="s">
        <v>134</v>
      </c>
      <c r="E31" s="103" t="str">
        <f t="shared" si="0"/>
        <v>Copper</v>
      </c>
      <c r="F31" s="76" t="e">
        <f>'C_EU Marinas_Scenario_Calc'!K40</f>
        <v>#DIV/0!</v>
      </c>
      <c r="G31" s="76" t="e">
        <f>'C_EU Marinas_Scenario_Calc'!L40</f>
        <v>#DIV/0!</v>
      </c>
      <c r="H31" s="76" t="e">
        <f>'C_EU Marinas_Scenario_Calc'!M40</f>
        <v>#DIV/0!</v>
      </c>
      <c r="I31" s="76" t="e">
        <f>'C_EU Marinas_Scenario_Calc'!N40</f>
        <v>#DIV/0!</v>
      </c>
      <c r="J31" s="76" t="e">
        <f>'C_EU Marinas_Scenario_Calc'!S40</f>
        <v>#DIV/0!</v>
      </c>
      <c r="K31" s="76" t="e">
        <f>'C_EU Marinas_Scenario_Calc'!T40</f>
        <v>#DIV/0!</v>
      </c>
      <c r="L31" s="76" t="e">
        <f>'C_EU Marinas_Scenario_Calc'!U40</f>
        <v>#DIV/0!</v>
      </c>
      <c r="M31" s="76" t="e">
        <f>'C_EU Marinas_Scenario_Calc'!V40</f>
        <v>#DIV/0!</v>
      </c>
    </row>
    <row r="32" spans="2:13" ht="14.25" x14ac:dyDescent="0.2">
      <c r="B32" s="103" t="s">
        <v>135</v>
      </c>
      <c r="C32" s="75" t="s">
        <v>12</v>
      </c>
      <c r="D32" s="75" t="s">
        <v>136</v>
      </c>
      <c r="E32" s="103" t="str">
        <f t="shared" si="0"/>
        <v>Copper</v>
      </c>
      <c r="F32" s="76" t="e">
        <f>'C_EU Marinas_Scenario_Calc'!K41</f>
        <v>#DIV/0!</v>
      </c>
      <c r="G32" s="76" t="e">
        <f>'C_EU Marinas_Scenario_Calc'!L41</f>
        <v>#DIV/0!</v>
      </c>
      <c r="H32" s="76" t="e">
        <f>'C_EU Marinas_Scenario_Calc'!M41</f>
        <v>#DIV/0!</v>
      </c>
      <c r="I32" s="76" t="e">
        <f>'C_EU Marinas_Scenario_Calc'!N41</f>
        <v>#DIV/0!</v>
      </c>
      <c r="J32" s="76" t="e">
        <f>'C_EU Marinas_Scenario_Calc'!S41</f>
        <v>#DIV/0!</v>
      </c>
      <c r="K32" s="76" t="e">
        <f>'C_EU Marinas_Scenario_Calc'!T41</f>
        <v>#DIV/0!</v>
      </c>
      <c r="L32" s="76" t="e">
        <f>'C_EU Marinas_Scenario_Calc'!U41</f>
        <v>#DIV/0!</v>
      </c>
      <c r="M32" s="76" t="e">
        <f>'C_EU Marinas_Scenario_Calc'!V41</f>
        <v>#DIV/0!</v>
      </c>
    </row>
    <row r="33" spans="2:13" ht="14.25" x14ac:dyDescent="0.2">
      <c r="B33" s="103" t="s">
        <v>137</v>
      </c>
      <c r="C33" s="75" t="s">
        <v>12</v>
      </c>
      <c r="D33" s="75" t="s">
        <v>138</v>
      </c>
      <c r="E33" s="103" t="str">
        <f t="shared" si="0"/>
        <v>Copper</v>
      </c>
      <c r="F33" s="76" t="e">
        <f>'C_EU Marinas_Scenario_Calc'!K42</f>
        <v>#DIV/0!</v>
      </c>
      <c r="G33" s="76" t="e">
        <f>'C_EU Marinas_Scenario_Calc'!L42</f>
        <v>#DIV/0!</v>
      </c>
      <c r="H33" s="76" t="e">
        <f>'C_EU Marinas_Scenario_Calc'!M42</f>
        <v>#DIV/0!</v>
      </c>
      <c r="I33" s="76" t="e">
        <f>'C_EU Marinas_Scenario_Calc'!N42</f>
        <v>#DIV/0!</v>
      </c>
      <c r="J33" s="76" t="e">
        <f>'C_EU Marinas_Scenario_Calc'!S42</f>
        <v>#DIV/0!</v>
      </c>
      <c r="K33" s="76" t="e">
        <f>'C_EU Marinas_Scenario_Calc'!T42</f>
        <v>#DIV/0!</v>
      </c>
      <c r="L33" s="76" t="e">
        <f>'C_EU Marinas_Scenario_Calc'!U42</f>
        <v>#DIV/0!</v>
      </c>
      <c r="M33" s="76" t="e">
        <f>'C_EU Marinas_Scenario_Calc'!V42</f>
        <v>#DIV/0!</v>
      </c>
    </row>
    <row r="34" spans="2:13" ht="14.25" x14ac:dyDescent="0.2">
      <c r="B34" s="103" t="s">
        <v>139</v>
      </c>
      <c r="C34" s="75" t="s">
        <v>12</v>
      </c>
      <c r="D34" s="75" t="s">
        <v>140</v>
      </c>
      <c r="E34" s="103" t="str">
        <f t="shared" si="0"/>
        <v>Copper</v>
      </c>
      <c r="F34" s="76" t="e">
        <f>'C_EU Marinas_Scenario_Calc'!K43</f>
        <v>#DIV/0!</v>
      </c>
      <c r="G34" s="76" t="e">
        <f>'C_EU Marinas_Scenario_Calc'!L43</f>
        <v>#DIV/0!</v>
      </c>
      <c r="H34" s="76" t="e">
        <f>'C_EU Marinas_Scenario_Calc'!M43</f>
        <v>#DIV/0!</v>
      </c>
      <c r="I34" s="76" t="e">
        <f>'C_EU Marinas_Scenario_Calc'!N43</f>
        <v>#DIV/0!</v>
      </c>
      <c r="J34" s="76" t="e">
        <f>'C_EU Marinas_Scenario_Calc'!S43</f>
        <v>#DIV/0!</v>
      </c>
      <c r="K34" s="76" t="e">
        <f>'C_EU Marinas_Scenario_Calc'!T43</f>
        <v>#DIV/0!</v>
      </c>
      <c r="L34" s="76" t="e">
        <f>'C_EU Marinas_Scenario_Calc'!U43</f>
        <v>#DIV/0!</v>
      </c>
      <c r="M34" s="76" t="e">
        <f>'C_EU Marinas_Scenario_Calc'!V43</f>
        <v>#DIV/0!</v>
      </c>
    </row>
    <row r="35" spans="2:13" ht="14.25" x14ac:dyDescent="0.2">
      <c r="B35" s="103" t="s">
        <v>141</v>
      </c>
      <c r="C35" s="75" t="s">
        <v>13</v>
      </c>
      <c r="D35" s="75">
        <v>1</v>
      </c>
      <c r="E35" s="103" t="str">
        <f t="shared" si="0"/>
        <v>Copper</v>
      </c>
      <c r="F35" s="76" t="e">
        <f>'C_EU Marinas_Scenario_Calc'!K44</f>
        <v>#DIV/0!</v>
      </c>
      <c r="G35" s="76" t="e">
        <f>'C_EU Marinas_Scenario_Calc'!L44</f>
        <v>#DIV/0!</v>
      </c>
      <c r="H35" s="76" t="e">
        <f>'C_EU Marinas_Scenario_Calc'!M44</f>
        <v>#DIV/0!</v>
      </c>
      <c r="I35" s="76" t="e">
        <f>'C_EU Marinas_Scenario_Calc'!N44</f>
        <v>#DIV/0!</v>
      </c>
      <c r="J35" s="76" t="e">
        <f>'C_EU Marinas_Scenario_Calc'!S44</f>
        <v>#DIV/0!</v>
      </c>
      <c r="K35" s="76" t="e">
        <f>'C_EU Marinas_Scenario_Calc'!T44</f>
        <v>#DIV/0!</v>
      </c>
      <c r="L35" s="76" t="e">
        <f>'C_EU Marinas_Scenario_Calc'!U44</f>
        <v>#DIV/0!</v>
      </c>
      <c r="M35" s="76" t="e">
        <f>'C_EU Marinas_Scenario_Calc'!V44</f>
        <v>#DIV/0!</v>
      </c>
    </row>
    <row r="36" spans="2:13" ht="14.25" x14ac:dyDescent="0.2">
      <c r="B36" s="103" t="s">
        <v>142</v>
      </c>
      <c r="C36" s="75" t="s">
        <v>13</v>
      </c>
      <c r="D36" s="75">
        <v>3</v>
      </c>
      <c r="E36" s="103" t="str">
        <f t="shared" si="0"/>
        <v>Copper</v>
      </c>
      <c r="F36" s="76" t="e">
        <f>'C_EU Marinas_Scenario_Calc'!K45</f>
        <v>#DIV/0!</v>
      </c>
      <c r="G36" s="76" t="e">
        <f>'C_EU Marinas_Scenario_Calc'!L45</f>
        <v>#DIV/0!</v>
      </c>
      <c r="H36" s="76" t="e">
        <f>'C_EU Marinas_Scenario_Calc'!M45</f>
        <v>#DIV/0!</v>
      </c>
      <c r="I36" s="76" t="e">
        <f>'C_EU Marinas_Scenario_Calc'!N45</f>
        <v>#DIV/0!</v>
      </c>
      <c r="J36" s="76" t="e">
        <f>'C_EU Marinas_Scenario_Calc'!S45</f>
        <v>#DIV/0!</v>
      </c>
      <c r="K36" s="76" t="e">
        <f>'C_EU Marinas_Scenario_Calc'!T45</f>
        <v>#DIV/0!</v>
      </c>
      <c r="L36" s="76" t="e">
        <f>'C_EU Marinas_Scenario_Calc'!U45</f>
        <v>#DIV/0!</v>
      </c>
      <c r="M36" s="76" t="e">
        <f>'C_EU Marinas_Scenario_Calc'!V45</f>
        <v>#DIV/0!</v>
      </c>
    </row>
    <row r="37" spans="2:13" ht="14.25" x14ac:dyDescent="0.2">
      <c r="B37" s="103" t="s">
        <v>143</v>
      </c>
      <c r="C37" s="75" t="s">
        <v>13</v>
      </c>
      <c r="D37" s="75">
        <v>4</v>
      </c>
      <c r="E37" s="103" t="str">
        <f t="shared" si="0"/>
        <v>Copper</v>
      </c>
      <c r="F37" s="76" t="e">
        <f>'C_EU Marinas_Scenario_Calc'!K46</f>
        <v>#DIV/0!</v>
      </c>
      <c r="G37" s="76" t="e">
        <f>'C_EU Marinas_Scenario_Calc'!L46</f>
        <v>#DIV/0!</v>
      </c>
      <c r="H37" s="76" t="e">
        <f>'C_EU Marinas_Scenario_Calc'!M46</f>
        <v>#DIV/0!</v>
      </c>
      <c r="I37" s="76" t="e">
        <f>'C_EU Marinas_Scenario_Calc'!N46</f>
        <v>#DIV/0!</v>
      </c>
      <c r="J37" s="76" t="e">
        <f>'C_EU Marinas_Scenario_Calc'!S46</f>
        <v>#DIV/0!</v>
      </c>
      <c r="K37" s="76" t="e">
        <f>'C_EU Marinas_Scenario_Calc'!T46</f>
        <v>#DIV/0!</v>
      </c>
      <c r="L37" s="76" t="e">
        <f>'C_EU Marinas_Scenario_Calc'!U46</f>
        <v>#DIV/0!</v>
      </c>
      <c r="M37" s="76" t="e">
        <f>'C_EU Marinas_Scenario_Calc'!V46</f>
        <v>#DIV/0!</v>
      </c>
    </row>
    <row r="38" spans="2:13" ht="14.25" x14ac:dyDescent="0.2">
      <c r="B38" s="103" t="s">
        <v>144</v>
      </c>
      <c r="C38" s="75" t="s">
        <v>13</v>
      </c>
      <c r="D38" s="75">
        <v>6</v>
      </c>
      <c r="E38" s="103" t="str">
        <f t="shared" si="0"/>
        <v>Copper</v>
      </c>
      <c r="F38" s="76" t="e">
        <f>'C_EU Marinas_Scenario_Calc'!K47</f>
        <v>#DIV/0!</v>
      </c>
      <c r="G38" s="76" t="e">
        <f>'C_EU Marinas_Scenario_Calc'!L47</f>
        <v>#DIV/0!</v>
      </c>
      <c r="H38" s="76" t="e">
        <f>'C_EU Marinas_Scenario_Calc'!M47</f>
        <v>#DIV/0!</v>
      </c>
      <c r="I38" s="76" t="e">
        <f>'C_EU Marinas_Scenario_Calc'!N47</f>
        <v>#DIV/0!</v>
      </c>
      <c r="J38" s="76" t="e">
        <f>'C_EU Marinas_Scenario_Calc'!S47</f>
        <v>#DIV/0!</v>
      </c>
      <c r="K38" s="76" t="e">
        <f>'C_EU Marinas_Scenario_Calc'!T47</f>
        <v>#DIV/0!</v>
      </c>
      <c r="L38" s="76" t="e">
        <f>'C_EU Marinas_Scenario_Calc'!U47</f>
        <v>#DIV/0!</v>
      </c>
      <c r="M38" s="76" t="e">
        <f>'C_EU Marinas_Scenario_Calc'!V47</f>
        <v>#DIV/0!</v>
      </c>
    </row>
    <row r="39" spans="2:13" ht="14.25" x14ac:dyDescent="0.2">
      <c r="B39" s="103" t="s">
        <v>145</v>
      </c>
      <c r="C39" s="75" t="s">
        <v>13</v>
      </c>
      <c r="D39" s="75">
        <v>7</v>
      </c>
      <c r="E39" s="103" t="str">
        <f t="shared" si="0"/>
        <v>Copper</v>
      </c>
      <c r="F39" s="76" t="e">
        <f>'C_EU Marinas_Scenario_Calc'!K48</f>
        <v>#DIV/0!</v>
      </c>
      <c r="G39" s="76" t="e">
        <f>'C_EU Marinas_Scenario_Calc'!L48</f>
        <v>#DIV/0!</v>
      </c>
      <c r="H39" s="76" t="e">
        <f>'C_EU Marinas_Scenario_Calc'!M48</f>
        <v>#DIV/0!</v>
      </c>
      <c r="I39" s="76" t="e">
        <f>'C_EU Marinas_Scenario_Calc'!N48</f>
        <v>#DIV/0!</v>
      </c>
      <c r="J39" s="76" t="e">
        <f>'C_EU Marinas_Scenario_Calc'!S48</f>
        <v>#DIV/0!</v>
      </c>
      <c r="K39" s="76" t="e">
        <f>'C_EU Marinas_Scenario_Calc'!T48</f>
        <v>#DIV/0!</v>
      </c>
      <c r="L39" s="76" t="e">
        <f>'C_EU Marinas_Scenario_Calc'!U48</f>
        <v>#DIV/0!</v>
      </c>
      <c r="M39" s="76" t="e">
        <f>'C_EU Marinas_Scenario_Calc'!V48</f>
        <v>#DIV/0!</v>
      </c>
    </row>
    <row r="40" spans="2:13" ht="14.25" x14ac:dyDescent="0.2">
      <c r="B40" s="103" t="s">
        <v>146</v>
      </c>
      <c r="C40" s="75" t="s">
        <v>13</v>
      </c>
      <c r="D40" s="75">
        <v>8</v>
      </c>
      <c r="E40" s="103" t="str">
        <f t="shared" si="0"/>
        <v>Copper</v>
      </c>
      <c r="F40" s="76" t="e">
        <f>'C_EU Marinas_Scenario_Calc'!K49</f>
        <v>#DIV/0!</v>
      </c>
      <c r="G40" s="76" t="e">
        <f>'C_EU Marinas_Scenario_Calc'!L49</f>
        <v>#DIV/0!</v>
      </c>
      <c r="H40" s="76" t="e">
        <f>'C_EU Marinas_Scenario_Calc'!M49</f>
        <v>#DIV/0!</v>
      </c>
      <c r="I40" s="76" t="e">
        <f>'C_EU Marinas_Scenario_Calc'!N49</f>
        <v>#DIV/0!</v>
      </c>
      <c r="J40" s="76" t="e">
        <f>'C_EU Marinas_Scenario_Calc'!S49</f>
        <v>#DIV/0!</v>
      </c>
      <c r="K40" s="76" t="e">
        <f>'C_EU Marinas_Scenario_Calc'!T49</f>
        <v>#DIV/0!</v>
      </c>
      <c r="L40" s="76" t="e">
        <f>'C_EU Marinas_Scenario_Calc'!U49</f>
        <v>#DIV/0!</v>
      </c>
      <c r="M40" s="76" t="e">
        <f>'C_EU Marinas_Scenario_Calc'!V49</f>
        <v>#DIV/0!</v>
      </c>
    </row>
    <row r="41" spans="2:13" ht="14.25" x14ac:dyDescent="0.2">
      <c r="B41" s="103" t="s">
        <v>147</v>
      </c>
      <c r="C41" s="75" t="s">
        <v>13</v>
      </c>
      <c r="D41" s="75">
        <v>14</v>
      </c>
      <c r="E41" s="103" t="str">
        <f t="shared" si="0"/>
        <v>Copper</v>
      </c>
      <c r="F41" s="76" t="e">
        <f>'C_EU Marinas_Scenario_Calc'!K50</f>
        <v>#DIV/0!</v>
      </c>
      <c r="G41" s="76" t="e">
        <f>'C_EU Marinas_Scenario_Calc'!L50</f>
        <v>#DIV/0!</v>
      </c>
      <c r="H41" s="76" t="e">
        <f>'C_EU Marinas_Scenario_Calc'!M50</f>
        <v>#DIV/0!</v>
      </c>
      <c r="I41" s="76" t="e">
        <f>'C_EU Marinas_Scenario_Calc'!N50</f>
        <v>#DIV/0!</v>
      </c>
      <c r="J41" s="76" t="e">
        <f>'C_EU Marinas_Scenario_Calc'!S50</f>
        <v>#DIV/0!</v>
      </c>
      <c r="K41" s="76" t="e">
        <f>'C_EU Marinas_Scenario_Calc'!T50</f>
        <v>#DIV/0!</v>
      </c>
      <c r="L41" s="76" t="e">
        <f>'C_EU Marinas_Scenario_Calc'!U50</f>
        <v>#DIV/0!</v>
      </c>
      <c r="M41" s="76" t="e">
        <f>'C_EU Marinas_Scenario_Calc'!V50</f>
        <v>#DIV/0!</v>
      </c>
    </row>
    <row r="42" spans="2:13" ht="14.25" x14ac:dyDescent="0.2">
      <c r="B42" s="103" t="s">
        <v>148</v>
      </c>
      <c r="C42" s="75" t="s">
        <v>13</v>
      </c>
      <c r="D42" s="75">
        <v>17</v>
      </c>
      <c r="E42" s="103" t="str">
        <f t="shared" si="0"/>
        <v>Copper</v>
      </c>
      <c r="F42" s="76" t="e">
        <f>'C_EU Marinas_Scenario_Calc'!K51</f>
        <v>#DIV/0!</v>
      </c>
      <c r="G42" s="76" t="e">
        <f>'C_EU Marinas_Scenario_Calc'!L51</f>
        <v>#DIV/0!</v>
      </c>
      <c r="H42" s="76" t="e">
        <f>'C_EU Marinas_Scenario_Calc'!M51</f>
        <v>#DIV/0!</v>
      </c>
      <c r="I42" s="76" t="e">
        <f>'C_EU Marinas_Scenario_Calc'!N51</f>
        <v>#DIV/0!</v>
      </c>
      <c r="J42" s="76" t="e">
        <f>'C_EU Marinas_Scenario_Calc'!S51</f>
        <v>#DIV/0!</v>
      </c>
      <c r="K42" s="76" t="e">
        <f>'C_EU Marinas_Scenario_Calc'!T51</f>
        <v>#DIV/0!</v>
      </c>
      <c r="L42" s="76" t="e">
        <f>'C_EU Marinas_Scenario_Calc'!U51</f>
        <v>#DIV/0!</v>
      </c>
      <c r="M42" s="76" t="e">
        <f>'C_EU Marinas_Scenario_Calc'!V51</f>
        <v>#DIV/0!</v>
      </c>
    </row>
    <row r="43" spans="2:13" ht="14.25" x14ac:dyDescent="0.2">
      <c r="B43" s="103" t="s">
        <v>149</v>
      </c>
      <c r="C43" s="75" t="s">
        <v>13</v>
      </c>
      <c r="D43" s="75">
        <v>21</v>
      </c>
      <c r="E43" s="103" t="str">
        <f t="shared" si="0"/>
        <v>Copper</v>
      </c>
      <c r="F43" s="76" t="e">
        <f>'C_EU Marinas_Scenario_Calc'!K52</f>
        <v>#DIV/0!</v>
      </c>
      <c r="G43" s="76" t="e">
        <f>'C_EU Marinas_Scenario_Calc'!L52</f>
        <v>#DIV/0!</v>
      </c>
      <c r="H43" s="76" t="e">
        <f>'C_EU Marinas_Scenario_Calc'!M52</f>
        <v>#DIV/0!</v>
      </c>
      <c r="I43" s="76" t="e">
        <f>'C_EU Marinas_Scenario_Calc'!N52</f>
        <v>#DIV/0!</v>
      </c>
      <c r="J43" s="76" t="e">
        <f>'C_EU Marinas_Scenario_Calc'!S52</f>
        <v>#DIV/0!</v>
      </c>
      <c r="K43" s="76" t="e">
        <f>'C_EU Marinas_Scenario_Calc'!T52</f>
        <v>#DIV/0!</v>
      </c>
      <c r="L43" s="76" t="e">
        <f>'C_EU Marinas_Scenario_Calc'!U52</f>
        <v>#DIV/0!</v>
      </c>
      <c r="M43" s="76" t="e">
        <f>'C_EU Marinas_Scenario_Calc'!V52</f>
        <v>#DIV/0!</v>
      </c>
    </row>
    <row r="44" spans="2:13" ht="14.25" x14ac:dyDescent="0.2">
      <c r="B44" s="103" t="s">
        <v>150</v>
      </c>
      <c r="C44" s="75" t="s">
        <v>13</v>
      </c>
      <c r="D44" s="75">
        <v>26</v>
      </c>
      <c r="E44" s="103" t="str">
        <f t="shared" si="0"/>
        <v>Copper</v>
      </c>
      <c r="F44" s="76" t="e">
        <f>'C_EU Marinas_Scenario_Calc'!K53</f>
        <v>#DIV/0!</v>
      </c>
      <c r="G44" s="76" t="e">
        <f>'C_EU Marinas_Scenario_Calc'!L53</f>
        <v>#DIV/0!</v>
      </c>
      <c r="H44" s="76" t="e">
        <f>'C_EU Marinas_Scenario_Calc'!M53</f>
        <v>#DIV/0!</v>
      </c>
      <c r="I44" s="76" t="e">
        <f>'C_EU Marinas_Scenario_Calc'!N53</f>
        <v>#DIV/0!</v>
      </c>
      <c r="J44" s="76" t="e">
        <f>'C_EU Marinas_Scenario_Calc'!S53</f>
        <v>#DIV/0!</v>
      </c>
      <c r="K44" s="76" t="e">
        <f>'C_EU Marinas_Scenario_Calc'!T53</f>
        <v>#DIV/0!</v>
      </c>
      <c r="L44" s="76" t="e">
        <f>'C_EU Marinas_Scenario_Calc'!U53</f>
        <v>#DIV/0!</v>
      </c>
      <c r="M44" s="76" t="e">
        <f>'C_EU Marinas_Scenario_Calc'!V53</f>
        <v>#DIV/0!</v>
      </c>
    </row>
    <row r="45" spans="2:13" ht="14.25" x14ac:dyDescent="0.2">
      <c r="B45" s="103" t="s">
        <v>151</v>
      </c>
      <c r="C45" s="75" t="s">
        <v>13</v>
      </c>
      <c r="D45" s="75">
        <v>30</v>
      </c>
      <c r="E45" s="103" t="str">
        <f t="shared" si="0"/>
        <v>Copper</v>
      </c>
      <c r="F45" s="76" t="e">
        <f>'C_EU Marinas_Scenario_Calc'!K54</f>
        <v>#DIV/0!</v>
      </c>
      <c r="G45" s="76" t="e">
        <f>'C_EU Marinas_Scenario_Calc'!L54</f>
        <v>#DIV/0!</v>
      </c>
      <c r="H45" s="76" t="e">
        <f>'C_EU Marinas_Scenario_Calc'!M54</f>
        <v>#DIV/0!</v>
      </c>
      <c r="I45" s="76" t="e">
        <f>'C_EU Marinas_Scenario_Calc'!N54</f>
        <v>#DIV/0!</v>
      </c>
      <c r="J45" s="76" t="e">
        <f>'C_EU Marinas_Scenario_Calc'!S54</f>
        <v>#DIV/0!</v>
      </c>
      <c r="K45" s="76" t="e">
        <f>'C_EU Marinas_Scenario_Calc'!T54</f>
        <v>#DIV/0!</v>
      </c>
      <c r="L45" s="76" t="e">
        <f>'C_EU Marinas_Scenario_Calc'!U54</f>
        <v>#DIV/0!</v>
      </c>
      <c r="M45" s="76" t="e">
        <f>'C_EU Marinas_Scenario_Calc'!V54</f>
        <v>#DIV/0!</v>
      </c>
    </row>
    <row r="46" spans="2:13" ht="14.25" x14ac:dyDescent="0.2">
      <c r="B46" s="103" t="s">
        <v>152</v>
      </c>
      <c r="C46" s="75" t="s">
        <v>13</v>
      </c>
      <c r="D46" s="75">
        <v>34</v>
      </c>
      <c r="E46" s="103" t="str">
        <f t="shared" si="0"/>
        <v>Copper</v>
      </c>
      <c r="F46" s="76" t="e">
        <f>'C_EU Marinas_Scenario_Calc'!K55</f>
        <v>#DIV/0!</v>
      </c>
      <c r="G46" s="76" t="e">
        <f>'C_EU Marinas_Scenario_Calc'!L55</f>
        <v>#DIV/0!</v>
      </c>
      <c r="H46" s="76" t="e">
        <f>'C_EU Marinas_Scenario_Calc'!M55</f>
        <v>#DIV/0!</v>
      </c>
      <c r="I46" s="76" t="e">
        <f>'C_EU Marinas_Scenario_Calc'!N55</f>
        <v>#DIV/0!</v>
      </c>
      <c r="J46" s="76" t="e">
        <f>'C_EU Marinas_Scenario_Calc'!S55</f>
        <v>#DIV/0!</v>
      </c>
      <c r="K46" s="76" t="e">
        <f>'C_EU Marinas_Scenario_Calc'!T55</f>
        <v>#DIV/0!</v>
      </c>
      <c r="L46" s="76" t="e">
        <f>'C_EU Marinas_Scenario_Calc'!U55</f>
        <v>#DIV/0!</v>
      </c>
      <c r="M46" s="76" t="e">
        <f>'C_EU Marinas_Scenario_Calc'!V55</f>
        <v>#DIV/0!</v>
      </c>
    </row>
    <row r="47" spans="2:13" ht="14.25" x14ac:dyDescent="0.2">
      <c r="B47" s="103" t="s">
        <v>153</v>
      </c>
      <c r="C47" s="75" t="s">
        <v>13</v>
      </c>
      <c r="D47" s="75">
        <v>40</v>
      </c>
      <c r="E47" s="103" t="str">
        <f t="shared" si="0"/>
        <v>Copper</v>
      </c>
      <c r="F47" s="76" t="e">
        <f>'C_EU Marinas_Scenario_Calc'!K56</f>
        <v>#DIV/0!</v>
      </c>
      <c r="G47" s="76" t="e">
        <f>'C_EU Marinas_Scenario_Calc'!L56</f>
        <v>#DIV/0!</v>
      </c>
      <c r="H47" s="76" t="e">
        <f>'C_EU Marinas_Scenario_Calc'!M56</f>
        <v>#DIV/0!</v>
      </c>
      <c r="I47" s="76" t="e">
        <f>'C_EU Marinas_Scenario_Calc'!N56</f>
        <v>#DIV/0!</v>
      </c>
      <c r="J47" s="76" t="e">
        <f>'C_EU Marinas_Scenario_Calc'!S56</f>
        <v>#DIV/0!</v>
      </c>
      <c r="K47" s="76" t="e">
        <f>'C_EU Marinas_Scenario_Calc'!T56</f>
        <v>#DIV/0!</v>
      </c>
      <c r="L47" s="76" t="e">
        <f>'C_EU Marinas_Scenario_Calc'!U56</f>
        <v>#DIV/0!</v>
      </c>
      <c r="M47" s="76" t="e">
        <f>'C_EU Marinas_Scenario_Calc'!V56</f>
        <v>#DIV/0!</v>
      </c>
    </row>
    <row r="48" spans="2:13" ht="14.25" x14ac:dyDescent="0.2">
      <c r="B48" s="103" t="s">
        <v>154</v>
      </c>
      <c r="C48" s="75" t="s">
        <v>13</v>
      </c>
      <c r="D48" s="75">
        <v>42</v>
      </c>
      <c r="E48" s="103" t="str">
        <f t="shared" si="0"/>
        <v>Copper</v>
      </c>
      <c r="F48" s="76" t="e">
        <f>'C_EU Marinas_Scenario_Calc'!K57</f>
        <v>#DIV/0!</v>
      </c>
      <c r="G48" s="76" t="e">
        <f>'C_EU Marinas_Scenario_Calc'!L57</f>
        <v>#DIV/0!</v>
      </c>
      <c r="H48" s="76" t="e">
        <f>'C_EU Marinas_Scenario_Calc'!M57</f>
        <v>#DIV/0!</v>
      </c>
      <c r="I48" s="76" t="e">
        <f>'C_EU Marinas_Scenario_Calc'!N57</f>
        <v>#DIV/0!</v>
      </c>
      <c r="J48" s="76" t="e">
        <f>'C_EU Marinas_Scenario_Calc'!S57</f>
        <v>#DIV/0!</v>
      </c>
      <c r="K48" s="76" t="e">
        <f>'C_EU Marinas_Scenario_Calc'!T57</f>
        <v>#DIV/0!</v>
      </c>
      <c r="L48" s="76" t="e">
        <f>'C_EU Marinas_Scenario_Calc'!U57</f>
        <v>#DIV/0!</v>
      </c>
      <c r="M48" s="76" t="e">
        <f>'C_EU Marinas_Scenario_Calc'!V57</f>
        <v>#DIV/0!</v>
      </c>
    </row>
    <row r="49" spans="2:15" ht="14.25" x14ac:dyDescent="0.2">
      <c r="B49" s="103" t="s">
        <v>155</v>
      </c>
      <c r="C49" s="75" t="s">
        <v>13</v>
      </c>
      <c r="D49" s="75">
        <v>44</v>
      </c>
      <c r="E49" s="103" t="str">
        <f t="shared" si="0"/>
        <v>Copper</v>
      </c>
      <c r="F49" s="76" t="e">
        <f>'C_EU Marinas_Scenario_Calc'!K58</f>
        <v>#DIV/0!</v>
      </c>
      <c r="G49" s="76" t="e">
        <f>'C_EU Marinas_Scenario_Calc'!L58</f>
        <v>#DIV/0!</v>
      </c>
      <c r="H49" s="76" t="e">
        <f>'C_EU Marinas_Scenario_Calc'!M58</f>
        <v>#DIV/0!</v>
      </c>
      <c r="I49" s="76" t="e">
        <f>'C_EU Marinas_Scenario_Calc'!N58</f>
        <v>#DIV/0!</v>
      </c>
      <c r="J49" s="76" t="e">
        <f>'C_EU Marinas_Scenario_Calc'!S58</f>
        <v>#DIV/0!</v>
      </c>
      <c r="K49" s="76" t="e">
        <f>'C_EU Marinas_Scenario_Calc'!T58</f>
        <v>#DIV/0!</v>
      </c>
      <c r="L49" s="76" t="e">
        <f>'C_EU Marinas_Scenario_Calc'!U58</f>
        <v>#DIV/0!</v>
      </c>
      <c r="M49" s="76" t="e">
        <f>'C_EU Marinas_Scenario_Calc'!V58</f>
        <v>#DIV/0!</v>
      </c>
    </row>
    <row r="50" spans="2:15" ht="14.25" x14ac:dyDescent="0.2">
      <c r="B50" s="103" t="s">
        <v>156</v>
      </c>
      <c r="C50" s="75" t="s">
        <v>13</v>
      </c>
      <c r="D50" s="75">
        <v>45</v>
      </c>
      <c r="E50" s="103" t="str">
        <f t="shared" si="0"/>
        <v>Copper</v>
      </c>
      <c r="F50" s="76" t="e">
        <f>'C_EU Marinas_Scenario_Calc'!K59</f>
        <v>#DIV/0!</v>
      </c>
      <c r="G50" s="76" t="e">
        <f>'C_EU Marinas_Scenario_Calc'!L59</f>
        <v>#DIV/0!</v>
      </c>
      <c r="H50" s="76" t="e">
        <f>'C_EU Marinas_Scenario_Calc'!M59</f>
        <v>#DIV/0!</v>
      </c>
      <c r="I50" s="76" t="e">
        <f>'C_EU Marinas_Scenario_Calc'!N59</f>
        <v>#DIV/0!</v>
      </c>
      <c r="J50" s="76" t="e">
        <f>'C_EU Marinas_Scenario_Calc'!S59</f>
        <v>#DIV/0!</v>
      </c>
      <c r="K50" s="76" t="e">
        <f>'C_EU Marinas_Scenario_Calc'!T59</f>
        <v>#DIV/0!</v>
      </c>
      <c r="L50" s="76" t="e">
        <f>'C_EU Marinas_Scenario_Calc'!U59</f>
        <v>#DIV/0!</v>
      </c>
      <c r="M50" s="76" t="e">
        <f>'C_EU Marinas_Scenario_Calc'!V59</f>
        <v>#DIV/0!</v>
      </c>
    </row>
    <row r="51" spans="2:15" ht="14.25" x14ac:dyDescent="0.2">
      <c r="B51" s="103" t="s">
        <v>157</v>
      </c>
      <c r="C51" s="75" t="s">
        <v>13</v>
      </c>
      <c r="D51" s="75">
        <v>46</v>
      </c>
      <c r="E51" s="103" t="str">
        <f t="shared" si="0"/>
        <v>Copper</v>
      </c>
      <c r="F51" s="76" t="e">
        <f>'C_EU Marinas_Scenario_Calc'!K60</f>
        <v>#DIV/0!</v>
      </c>
      <c r="G51" s="76" t="e">
        <f>'C_EU Marinas_Scenario_Calc'!L60</f>
        <v>#DIV/0!</v>
      </c>
      <c r="H51" s="76" t="e">
        <f>'C_EU Marinas_Scenario_Calc'!M60</f>
        <v>#DIV/0!</v>
      </c>
      <c r="I51" s="76" t="e">
        <f>'C_EU Marinas_Scenario_Calc'!N60</f>
        <v>#DIV/0!</v>
      </c>
      <c r="J51" s="76" t="e">
        <f>'C_EU Marinas_Scenario_Calc'!S60</f>
        <v>#DIV/0!</v>
      </c>
      <c r="K51" s="76" t="e">
        <f>'C_EU Marinas_Scenario_Calc'!T60</f>
        <v>#DIV/0!</v>
      </c>
      <c r="L51" s="76" t="e">
        <f>'C_EU Marinas_Scenario_Calc'!U60</f>
        <v>#DIV/0!</v>
      </c>
      <c r="M51" s="76" t="e">
        <f>'C_EU Marinas_Scenario_Calc'!V60</f>
        <v>#DIV/0!</v>
      </c>
    </row>
    <row r="52" spans="2:15" ht="14.25" x14ac:dyDescent="0.2">
      <c r="B52" s="103" t="s">
        <v>158</v>
      </c>
      <c r="C52" s="75" t="s">
        <v>13</v>
      </c>
      <c r="D52" s="75">
        <v>48</v>
      </c>
      <c r="E52" s="103" t="str">
        <f t="shared" si="0"/>
        <v>Copper</v>
      </c>
      <c r="F52" s="76" t="e">
        <f>'C_EU Marinas_Scenario_Calc'!K61</f>
        <v>#DIV/0!</v>
      </c>
      <c r="G52" s="76" t="e">
        <f>'C_EU Marinas_Scenario_Calc'!L61</f>
        <v>#DIV/0!</v>
      </c>
      <c r="H52" s="76" t="e">
        <f>'C_EU Marinas_Scenario_Calc'!M61</f>
        <v>#DIV/0!</v>
      </c>
      <c r="I52" s="76" t="e">
        <f>'C_EU Marinas_Scenario_Calc'!N61</f>
        <v>#DIV/0!</v>
      </c>
      <c r="J52" s="76" t="e">
        <f>'C_EU Marinas_Scenario_Calc'!S61</f>
        <v>#DIV/0!</v>
      </c>
      <c r="K52" s="76" t="e">
        <f>'C_EU Marinas_Scenario_Calc'!T61</f>
        <v>#DIV/0!</v>
      </c>
      <c r="L52" s="76" t="e">
        <f>'C_EU Marinas_Scenario_Calc'!U61</f>
        <v>#DIV/0!</v>
      </c>
      <c r="M52" s="76" t="e">
        <f>'C_EU Marinas_Scenario_Calc'!V61</f>
        <v>#DIV/0!</v>
      </c>
    </row>
    <row r="53" spans="2:15" ht="14.25" x14ac:dyDescent="0.2">
      <c r="B53" s="103" t="s">
        <v>159</v>
      </c>
      <c r="C53" s="75" t="s">
        <v>160</v>
      </c>
      <c r="D53" s="75">
        <v>1</v>
      </c>
      <c r="E53" s="103" t="str">
        <f t="shared" si="0"/>
        <v>Copper</v>
      </c>
      <c r="F53" s="76" t="e">
        <f>'C_EU Marinas_Scenario_Calc'!K62</f>
        <v>#DIV/0!</v>
      </c>
      <c r="G53" s="76" t="e">
        <f>'C_EU Marinas_Scenario_Calc'!L62</f>
        <v>#DIV/0!</v>
      </c>
      <c r="H53" s="76" t="e">
        <f>'C_EU Marinas_Scenario_Calc'!M62</f>
        <v>#DIV/0!</v>
      </c>
      <c r="I53" s="76" t="e">
        <f>'C_EU Marinas_Scenario_Calc'!N62</f>
        <v>#DIV/0!</v>
      </c>
      <c r="J53" s="76" t="e">
        <f>'C_EU Marinas_Scenario_Calc'!S62</f>
        <v>#DIV/0!</v>
      </c>
      <c r="K53" s="76" t="e">
        <f>'C_EU Marinas_Scenario_Calc'!T62</f>
        <v>#DIV/0!</v>
      </c>
      <c r="L53" s="76" t="e">
        <f>'C_EU Marinas_Scenario_Calc'!U62</f>
        <v>#DIV/0!</v>
      </c>
      <c r="M53" s="76" t="e">
        <f>'C_EU Marinas_Scenario_Calc'!V62</f>
        <v>#DIV/0!</v>
      </c>
    </row>
    <row r="54" spans="2:15" ht="14.25" x14ac:dyDescent="0.2">
      <c r="B54" s="103" t="s">
        <v>161</v>
      </c>
      <c r="C54" s="75" t="s">
        <v>160</v>
      </c>
      <c r="D54" s="75">
        <v>2</v>
      </c>
      <c r="E54" s="103" t="str">
        <f t="shared" si="0"/>
        <v>Copper</v>
      </c>
      <c r="F54" s="76" t="e">
        <f>'C_EU Marinas_Scenario_Calc'!K63</f>
        <v>#DIV/0!</v>
      </c>
      <c r="G54" s="76" t="e">
        <f>'C_EU Marinas_Scenario_Calc'!L63</f>
        <v>#DIV/0!</v>
      </c>
      <c r="H54" s="76" t="e">
        <f>'C_EU Marinas_Scenario_Calc'!M63</f>
        <v>#DIV/0!</v>
      </c>
      <c r="I54" s="76" t="e">
        <f>'C_EU Marinas_Scenario_Calc'!N63</f>
        <v>#DIV/0!</v>
      </c>
      <c r="J54" s="76" t="e">
        <f>'C_EU Marinas_Scenario_Calc'!S63</f>
        <v>#DIV/0!</v>
      </c>
      <c r="K54" s="76" t="e">
        <f>'C_EU Marinas_Scenario_Calc'!T63</f>
        <v>#DIV/0!</v>
      </c>
      <c r="L54" s="76" t="e">
        <f>'C_EU Marinas_Scenario_Calc'!U63</f>
        <v>#DIV/0!</v>
      </c>
      <c r="M54" s="76" t="e">
        <f>'C_EU Marinas_Scenario_Calc'!V63</f>
        <v>#DIV/0!</v>
      </c>
    </row>
    <row r="55" spans="2:15" ht="14.25" x14ac:dyDescent="0.2">
      <c r="B55" s="103" t="s">
        <v>162</v>
      </c>
      <c r="C55" s="75" t="s">
        <v>160</v>
      </c>
      <c r="D55" s="75">
        <v>3</v>
      </c>
      <c r="E55" s="103" t="str">
        <f t="shared" si="0"/>
        <v>Copper</v>
      </c>
      <c r="F55" s="76" t="e">
        <f>'C_EU Marinas_Scenario_Calc'!K64</f>
        <v>#DIV/0!</v>
      </c>
      <c r="G55" s="76" t="e">
        <f>'C_EU Marinas_Scenario_Calc'!L64</f>
        <v>#DIV/0!</v>
      </c>
      <c r="H55" s="76" t="e">
        <f>'C_EU Marinas_Scenario_Calc'!M64</f>
        <v>#DIV/0!</v>
      </c>
      <c r="I55" s="76" t="e">
        <f>'C_EU Marinas_Scenario_Calc'!N64</f>
        <v>#DIV/0!</v>
      </c>
      <c r="J55" s="76" t="e">
        <f>'C_EU Marinas_Scenario_Calc'!S64</f>
        <v>#DIV/0!</v>
      </c>
      <c r="K55" s="76" t="e">
        <f>'C_EU Marinas_Scenario_Calc'!T64</f>
        <v>#DIV/0!</v>
      </c>
      <c r="L55" s="76" t="e">
        <f>'C_EU Marinas_Scenario_Calc'!U64</f>
        <v>#DIV/0!</v>
      </c>
      <c r="M55" s="76" t="e">
        <f>'C_EU Marinas_Scenario_Calc'!V64</f>
        <v>#DIV/0!</v>
      </c>
    </row>
    <row r="56" spans="2:15" ht="14.25" x14ac:dyDescent="0.2">
      <c r="B56" s="103" t="s">
        <v>163</v>
      </c>
      <c r="C56" s="75" t="s">
        <v>160</v>
      </c>
      <c r="D56" s="75">
        <v>4</v>
      </c>
      <c r="E56" s="103" t="str">
        <f t="shared" si="0"/>
        <v>Copper</v>
      </c>
      <c r="F56" s="76" t="e">
        <f>'C_EU Marinas_Scenario_Calc'!K65</f>
        <v>#DIV/0!</v>
      </c>
      <c r="G56" s="76" t="e">
        <f>'C_EU Marinas_Scenario_Calc'!L65</f>
        <v>#DIV/0!</v>
      </c>
      <c r="H56" s="76" t="e">
        <f>'C_EU Marinas_Scenario_Calc'!M65</f>
        <v>#DIV/0!</v>
      </c>
      <c r="I56" s="76" t="e">
        <f>'C_EU Marinas_Scenario_Calc'!N65</f>
        <v>#DIV/0!</v>
      </c>
      <c r="J56" s="76" t="e">
        <f>'C_EU Marinas_Scenario_Calc'!S65</f>
        <v>#DIV/0!</v>
      </c>
      <c r="K56" s="76" t="e">
        <f>'C_EU Marinas_Scenario_Calc'!T65</f>
        <v>#DIV/0!</v>
      </c>
      <c r="L56" s="76" t="e">
        <f>'C_EU Marinas_Scenario_Calc'!U65</f>
        <v>#DIV/0!</v>
      </c>
      <c r="M56" s="76" t="e">
        <f>'C_EU Marinas_Scenario_Calc'!V65</f>
        <v>#DIV/0!</v>
      </c>
    </row>
    <row r="57" spans="2:15" ht="14.25" x14ac:dyDescent="0.2">
      <c r="B57" s="103" t="s">
        <v>164</v>
      </c>
      <c r="C57" s="75" t="s">
        <v>160</v>
      </c>
      <c r="D57" s="75">
        <v>5</v>
      </c>
      <c r="E57" s="103" t="str">
        <f t="shared" si="0"/>
        <v>Copper</v>
      </c>
      <c r="F57" s="76" t="e">
        <f>'C_EU Marinas_Scenario_Calc'!K66</f>
        <v>#DIV/0!</v>
      </c>
      <c r="G57" s="76" t="e">
        <f>'C_EU Marinas_Scenario_Calc'!L66</f>
        <v>#DIV/0!</v>
      </c>
      <c r="H57" s="76" t="e">
        <f>'C_EU Marinas_Scenario_Calc'!M66</f>
        <v>#DIV/0!</v>
      </c>
      <c r="I57" s="76" t="e">
        <f>'C_EU Marinas_Scenario_Calc'!N66</f>
        <v>#DIV/0!</v>
      </c>
      <c r="J57" s="76" t="e">
        <f>'C_EU Marinas_Scenario_Calc'!S66</f>
        <v>#DIV/0!</v>
      </c>
      <c r="K57" s="76" t="e">
        <f>'C_EU Marinas_Scenario_Calc'!T66</f>
        <v>#DIV/0!</v>
      </c>
      <c r="L57" s="76" t="e">
        <f>'C_EU Marinas_Scenario_Calc'!U66</f>
        <v>#DIV/0!</v>
      </c>
      <c r="M57" s="76" t="e">
        <f>'C_EU Marinas_Scenario_Calc'!V66</f>
        <v>#DIV/0!</v>
      </c>
    </row>
    <row r="58" spans="2:15" x14ac:dyDescent="0.2">
      <c r="B58" s="190" t="s">
        <v>84</v>
      </c>
      <c r="C58" s="190"/>
      <c r="D58" s="190"/>
      <c r="E58" s="190"/>
      <c r="F58" s="77" t="e">
        <f>'C_EU Marinas_Scenario_Calc'!K69</f>
        <v>#DIV/0!</v>
      </c>
      <c r="G58" s="77" t="e">
        <f>'C_EU Marinas_Scenario_Calc'!L69</f>
        <v>#DIV/0!</v>
      </c>
      <c r="H58" s="77" t="e">
        <f>'C_EU Marinas_Scenario_Calc'!M69</f>
        <v>#DIV/0!</v>
      </c>
      <c r="I58" s="77" t="e">
        <f>'C_EU Marinas_Scenario_Calc'!N69</f>
        <v>#DIV/0!</v>
      </c>
      <c r="J58" s="77" t="e">
        <f>'C_EU Marinas_Scenario_Calc'!S69</f>
        <v>#DIV/0!</v>
      </c>
      <c r="K58" s="77" t="e">
        <f>'C_EU Marinas_Scenario_Calc'!T69</f>
        <v>#DIV/0!</v>
      </c>
      <c r="L58" s="77" t="e">
        <f>'C_EU Marinas_Scenario_Calc'!U69</f>
        <v>#DIV/0!</v>
      </c>
      <c r="M58" s="77" t="e">
        <f>'C_EU Marinas_Scenario_Calc'!V69</f>
        <v>#DIV/0!</v>
      </c>
    </row>
    <row r="59" spans="2:15" x14ac:dyDescent="0.2">
      <c r="B59" s="190" t="s">
        <v>14</v>
      </c>
      <c r="C59" s="190"/>
      <c r="D59" s="190"/>
      <c r="E59" s="190"/>
      <c r="F59" s="77" t="e">
        <f>'C_EU Marinas_Scenario_Calc'!K67</f>
        <v>#DIV/0!</v>
      </c>
      <c r="G59" s="77" t="e">
        <f>'C_EU Marinas_Scenario_Calc'!L67</f>
        <v>#DIV/0!</v>
      </c>
      <c r="H59" s="77" t="e">
        <f>'C_EU Marinas_Scenario_Calc'!M67</f>
        <v>#DIV/0!</v>
      </c>
      <c r="I59" s="77" t="e">
        <f>'C_EU Marinas_Scenario_Calc'!N67</f>
        <v>#DIV/0!</v>
      </c>
      <c r="J59" s="77" t="e">
        <f>'C_EU Marinas_Scenario_Calc'!S67</f>
        <v>#DIV/0!</v>
      </c>
      <c r="K59" s="77" t="e">
        <f>'C_EU Marinas_Scenario_Calc'!T67</f>
        <v>#DIV/0!</v>
      </c>
      <c r="L59" s="77" t="e">
        <f>'C_EU Marinas_Scenario_Calc'!U67</f>
        <v>#DIV/0!</v>
      </c>
      <c r="M59" s="77" t="e">
        <f>'C_EU Marinas_Scenario_Calc'!V67</f>
        <v>#DIV/0!</v>
      </c>
    </row>
    <row r="60" spans="2:15" x14ac:dyDescent="0.2">
      <c r="B60" s="190" t="s">
        <v>15</v>
      </c>
      <c r="C60" s="190"/>
      <c r="D60" s="190"/>
      <c r="E60" s="190"/>
      <c r="F60" s="77" t="e">
        <f>'C_EU Marinas_Scenario_Calc'!K68</f>
        <v>#DIV/0!</v>
      </c>
      <c r="G60" s="77" t="e">
        <f>'C_EU Marinas_Scenario_Calc'!L68</f>
        <v>#DIV/0!</v>
      </c>
      <c r="H60" s="77" t="e">
        <f>'C_EU Marinas_Scenario_Calc'!M68</f>
        <v>#DIV/0!</v>
      </c>
      <c r="I60" s="77" t="e">
        <f>'C_EU Marinas_Scenario_Calc'!N68</f>
        <v>#DIV/0!</v>
      </c>
      <c r="J60" s="77" t="e">
        <f>'C_EU Marinas_Scenario_Calc'!S68</f>
        <v>#DIV/0!</v>
      </c>
      <c r="K60" s="77" t="e">
        <f>'C_EU Marinas_Scenario_Calc'!T68</f>
        <v>#DIV/0!</v>
      </c>
      <c r="L60" s="77" t="e">
        <f>'C_EU Marinas_Scenario_Calc'!U68</f>
        <v>#DIV/0!</v>
      </c>
      <c r="M60" s="77" t="e">
        <f>'C_EU Marinas_Scenario_Calc'!V68</f>
        <v>#DIV/0!</v>
      </c>
    </row>
    <row r="61" spans="2:15" x14ac:dyDescent="0.2">
      <c r="B61" s="91"/>
      <c r="C61" s="91"/>
      <c r="D61" s="91"/>
      <c r="E61" s="91"/>
      <c r="F61" s="91"/>
      <c r="G61" s="91"/>
      <c r="H61" s="91"/>
      <c r="I61" s="91"/>
      <c r="J61" s="91"/>
      <c r="K61" s="91"/>
      <c r="L61" s="91"/>
      <c r="M61" s="91"/>
    </row>
    <row r="62" spans="2:15" x14ac:dyDescent="0.2">
      <c r="B62" s="67"/>
      <c r="C62" s="67"/>
      <c r="D62" s="67"/>
      <c r="E62" s="68"/>
      <c r="F62" s="69"/>
      <c r="G62" s="69"/>
      <c r="H62" s="69"/>
      <c r="I62" s="69"/>
      <c r="J62" s="67"/>
      <c r="K62" s="67"/>
      <c r="L62" s="67"/>
      <c r="M62" s="67"/>
      <c r="N62" s="15"/>
      <c r="O62" s="15"/>
    </row>
    <row r="63" spans="2:15" x14ac:dyDescent="0.2">
      <c r="B63" s="67"/>
      <c r="C63" s="67"/>
      <c r="D63" s="67"/>
      <c r="E63" s="68"/>
      <c r="F63" s="69"/>
      <c r="G63" s="69"/>
      <c r="H63" s="69"/>
      <c r="I63" s="69"/>
      <c r="J63" s="67"/>
      <c r="K63" s="67"/>
      <c r="L63" s="67"/>
      <c r="M63" s="67"/>
      <c r="N63" s="15"/>
      <c r="O63" s="15"/>
    </row>
    <row r="64" spans="2:15" x14ac:dyDescent="0.2">
      <c r="B64" s="67"/>
      <c r="C64" s="67"/>
      <c r="D64" s="67"/>
      <c r="E64" s="68"/>
      <c r="F64" s="69"/>
      <c r="G64" s="69"/>
      <c r="H64" s="69"/>
      <c r="I64" s="69"/>
      <c r="J64" s="67"/>
      <c r="K64" s="67"/>
      <c r="L64" s="67"/>
      <c r="M64" s="67"/>
      <c r="N64" s="15"/>
      <c r="O64" s="15"/>
    </row>
    <row r="65" spans="2:15" x14ac:dyDescent="0.2">
      <c r="B65" s="67"/>
      <c r="C65" s="67"/>
      <c r="D65" s="67"/>
      <c r="E65" s="68"/>
      <c r="F65" s="69"/>
      <c r="G65" s="69"/>
      <c r="H65" s="69"/>
      <c r="I65" s="69"/>
      <c r="J65" s="67"/>
      <c r="K65" s="67"/>
      <c r="L65" s="67"/>
      <c r="M65" s="67"/>
      <c r="N65" s="15"/>
      <c r="O65" s="15"/>
    </row>
    <row r="66" spans="2:15" x14ac:dyDescent="0.2">
      <c r="B66" s="67"/>
      <c r="C66" s="67"/>
      <c r="D66" s="67"/>
      <c r="E66" s="68"/>
      <c r="F66" s="69"/>
      <c r="G66" s="69"/>
      <c r="H66" s="69"/>
      <c r="I66" s="69"/>
      <c r="J66" s="67"/>
      <c r="K66" s="67"/>
      <c r="L66" s="67"/>
      <c r="M66" s="67"/>
      <c r="N66" s="15"/>
      <c r="O66" s="15"/>
    </row>
    <row r="67" spans="2:15" x14ac:dyDescent="0.2">
      <c r="B67" s="67"/>
      <c r="C67" s="67"/>
      <c r="D67" s="67"/>
      <c r="E67" s="68"/>
      <c r="F67" s="69"/>
      <c r="G67" s="69"/>
      <c r="H67" s="69"/>
      <c r="I67" s="69"/>
      <c r="J67" s="67"/>
      <c r="K67" s="67"/>
      <c r="L67" s="67"/>
      <c r="M67" s="67"/>
      <c r="N67" s="15"/>
      <c r="O67" s="15"/>
    </row>
    <row r="68" spans="2:15" x14ac:dyDescent="0.2">
      <c r="B68" s="67"/>
      <c r="C68" s="67"/>
      <c r="D68" s="67"/>
      <c r="E68" s="68"/>
      <c r="F68" s="69"/>
      <c r="G68" s="69"/>
      <c r="H68" s="69"/>
      <c r="I68" s="69"/>
      <c r="J68" s="67"/>
      <c r="K68" s="67"/>
      <c r="L68" s="67"/>
      <c r="M68" s="67"/>
      <c r="N68" s="15"/>
      <c r="O68" s="15"/>
    </row>
    <row r="69" spans="2:15" x14ac:dyDescent="0.2">
      <c r="B69" s="67"/>
      <c r="C69" s="67"/>
      <c r="D69" s="67"/>
      <c r="E69" s="68"/>
      <c r="F69" s="69"/>
      <c r="G69" s="69"/>
      <c r="H69" s="69"/>
      <c r="I69" s="69"/>
      <c r="J69" s="67"/>
      <c r="K69" s="67"/>
      <c r="L69" s="67"/>
      <c r="M69" s="67"/>
      <c r="N69" s="15"/>
      <c r="O69" s="15"/>
    </row>
    <row r="70" spans="2:15" x14ac:dyDescent="0.2">
      <c r="B70" s="67"/>
      <c r="C70" s="67"/>
      <c r="D70" s="67"/>
      <c r="E70" s="68"/>
      <c r="F70" s="69"/>
      <c r="G70" s="69"/>
      <c r="H70" s="69"/>
      <c r="I70" s="69"/>
      <c r="J70" s="67"/>
      <c r="K70" s="67"/>
      <c r="L70" s="67"/>
      <c r="M70" s="67"/>
      <c r="N70" s="15"/>
      <c r="O70" s="15"/>
    </row>
    <row r="71" spans="2:15" x14ac:dyDescent="0.2">
      <c r="B71" s="67"/>
      <c r="C71" s="67"/>
      <c r="D71" s="67"/>
      <c r="E71" s="68"/>
      <c r="F71" s="69"/>
      <c r="G71" s="69"/>
      <c r="H71" s="69"/>
      <c r="I71" s="69"/>
      <c r="J71" s="67"/>
      <c r="K71" s="67"/>
      <c r="L71" s="67"/>
      <c r="M71" s="67"/>
      <c r="N71" s="15"/>
      <c r="O71" s="15"/>
    </row>
    <row r="72" spans="2:15" x14ac:dyDescent="0.2">
      <c r="B72" s="67"/>
      <c r="C72" s="67"/>
      <c r="D72" s="67"/>
      <c r="E72" s="68"/>
      <c r="F72" s="69"/>
      <c r="G72" s="69"/>
      <c r="H72" s="69"/>
      <c r="I72" s="69"/>
      <c r="J72" s="67"/>
      <c r="K72" s="67"/>
      <c r="L72" s="67"/>
      <c r="M72" s="67"/>
      <c r="N72" s="15"/>
      <c r="O72" s="15"/>
    </row>
    <row r="73" spans="2:15" x14ac:dyDescent="0.2">
      <c r="B73" s="67"/>
      <c r="C73" s="67"/>
      <c r="D73" s="67"/>
      <c r="E73" s="68"/>
      <c r="F73" s="69"/>
      <c r="G73" s="69"/>
      <c r="H73" s="69"/>
      <c r="I73" s="69"/>
      <c r="J73" s="67"/>
      <c r="K73" s="67"/>
      <c r="L73" s="67"/>
      <c r="M73" s="67"/>
      <c r="N73" s="15"/>
      <c r="O73" s="15"/>
    </row>
    <row r="74" spans="2:15" x14ac:dyDescent="0.2">
      <c r="B74" s="67"/>
      <c r="C74" s="67"/>
      <c r="D74" s="67"/>
      <c r="E74" s="68"/>
      <c r="F74" s="69"/>
      <c r="G74" s="69"/>
      <c r="H74" s="69"/>
      <c r="I74" s="69"/>
      <c r="J74" s="67"/>
      <c r="K74" s="67"/>
      <c r="L74" s="67"/>
      <c r="M74" s="67"/>
      <c r="N74" s="15"/>
      <c r="O74" s="15"/>
    </row>
    <row r="75" spans="2:15" x14ac:dyDescent="0.2">
      <c r="B75" s="67"/>
      <c r="C75" s="67"/>
      <c r="D75" s="67"/>
      <c r="E75" s="68"/>
      <c r="F75" s="69"/>
      <c r="G75" s="69"/>
      <c r="H75" s="69"/>
      <c r="I75" s="69"/>
      <c r="J75" s="67"/>
      <c r="K75" s="67"/>
      <c r="L75" s="67"/>
      <c r="M75" s="67"/>
      <c r="N75" s="15"/>
      <c r="O75" s="15"/>
    </row>
    <row r="76" spans="2:15" x14ac:dyDescent="0.2">
      <c r="B76" s="67"/>
      <c r="C76" s="67"/>
      <c r="D76" s="67"/>
      <c r="E76" s="68"/>
      <c r="F76" s="69"/>
      <c r="G76" s="69"/>
      <c r="H76" s="69"/>
      <c r="I76" s="69"/>
      <c r="J76" s="67"/>
      <c r="K76" s="67"/>
      <c r="L76" s="67"/>
      <c r="M76" s="67"/>
      <c r="N76" s="15"/>
      <c r="O76" s="15"/>
    </row>
    <row r="77" spans="2:15" x14ac:dyDescent="0.2">
      <c r="B77" s="15"/>
      <c r="C77" s="15"/>
      <c r="D77" s="15"/>
      <c r="E77" s="15"/>
      <c r="F77" s="15"/>
      <c r="G77" s="15"/>
      <c r="H77" s="15"/>
      <c r="I77" s="15"/>
      <c r="J77" s="15"/>
      <c r="K77" s="15"/>
      <c r="L77" s="15"/>
      <c r="M77" s="15"/>
      <c r="N77" s="15"/>
      <c r="O77" s="15"/>
    </row>
    <row r="78" spans="2:15" x14ac:dyDescent="0.2">
      <c r="B78" s="15"/>
      <c r="C78" s="15"/>
      <c r="D78" s="15"/>
      <c r="E78" s="15"/>
      <c r="F78" s="15"/>
      <c r="G78" s="15"/>
      <c r="H78" s="15"/>
      <c r="I78" s="15"/>
      <c r="J78" s="15"/>
      <c r="K78" s="15"/>
      <c r="L78" s="15"/>
      <c r="M78" s="15"/>
      <c r="N78" s="15"/>
      <c r="O78" s="15"/>
    </row>
  </sheetData>
  <mergeCells count="10">
    <mergeCell ref="B10:M10"/>
    <mergeCell ref="B58:E58"/>
    <mergeCell ref="B59:E59"/>
    <mergeCell ref="B60:E60"/>
    <mergeCell ref="B2:N2"/>
    <mergeCell ref="B4:G4"/>
    <mergeCell ref="B5:F5"/>
    <mergeCell ref="B6:F6"/>
    <mergeCell ref="B7:F7"/>
    <mergeCell ref="B8:F8"/>
  </mergeCells>
  <conditionalFormatting sqref="J12:M60">
    <cfRule type="cellIs" dxfId="11" priority="1" operator="lessThan">
      <formula>1</formula>
    </cfRule>
    <cfRule type="cellIs" dxfId="10" priority="2" operator="greaterThan">
      <formula>1</formula>
    </cfRule>
    <cfRule type="cellIs" dxfId="9" priority="3" operator="equal">
      <formula>1</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13"/>
  <sheetViews>
    <sheetView zoomScale="90" zoomScaleNormal="90" workbookViewId="0"/>
  </sheetViews>
  <sheetFormatPr defaultRowHeight="12.75" x14ac:dyDescent="0.2"/>
  <cols>
    <col min="1" max="1" width="9" style="91"/>
    <col min="2" max="2" width="28.625" style="91" customWidth="1"/>
    <col min="3" max="3" width="25.625" style="91" customWidth="1"/>
    <col min="4" max="11" width="11.625" style="91" customWidth="1"/>
    <col min="12" max="16384" width="9" style="91"/>
  </cols>
  <sheetData>
    <row r="2" spans="2:12" ht="21" customHeight="1" thickBot="1" x14ac:dyDescent="0.35">
      <c r="B2" s="191" t="s">
        <v>103</v>
      </c>
      <c r="C2" s="191"/>
      <c r="D2" s="191"/>
      <c r="E2" s="191"/>
      <c r="F2" s="191"/>
      <c r="G2" s="191"/>
      <c r="H2" s="191"/>
      <c r="I2" s="191"/>
      <c r="J2" s="191"/>
      <c r="K2" s="191"/>
      <c r="L2" s="191"/>
    </row>
    <row r="3" spans="2:12" ht="13.5" thickTop="1" x14ac:dyDescent="0.2">
      <c r="B3" s="148" t="str">
        <f>Tooltype</f>
        <v>Freshwater calculator tool</v>
      </c>
      <c r="C3" s="3"/>
      <c r="D3" s="3"/>
      <c r="E3" s="3"/>
      <c r="F3" s="3"/>
      <c r="G3" s="3"/>
      <c r="H3" s="3"/>
      <c r="I3" s="3"/>
      <c r="J3" s="3"/>
      <c r="K3" s="3"/>
    </row>
    <row r="4" spans="2:12" ht="15" x14ac:dyDescent="0.2">
      <c r="B4" s="193" t="s">
        <v>88</v>
      </c>
      <c r="C4" s="193"/>
      <c r="D4" s="193"/>
      <c r="E4" s="193"/>
      <c r="F4" s="3"/>
      <c r="G4" s="3"/>
      <c r="H4" s="3"/>
      <c r="I4" s="3"/>
      <c r="J4" s="3"/>
      <c r="K4" s="3"/>
    </row>
    <row r="5" spans="2:12" x14ac:dyDescent="0.2">
      <c r="B5" s="192" t="s">
        <v>202</v>
      </c>
      <c r="C5" s="192"/>
      <c r="D5" s="192"/>
      <c r="E5" s="104">
        <f>C_PNEC_Aquatic_Inside</f>
        <v>7.8</v>
      </c>
      <c r="F5" s="3"/>
      <c r="G5" s="3"/>
      <c r="H5" s="3"/>
      <c r="I5" s="3"/>
      <c r="J5" s="3"/>
      <c r="K5" s="3"/>
    </row>
    <row r="6" spans="2:12" x14ac:dyDescent="0.2">
      <c r="B6" s="192" t="s">
        <v>203</v>
      </c>
      <c r="C6" s="192"/>
      <c r="D6" s="192"/>
      <c r="E6" s="104">
        <f>C_PNEC_Sediment_Inside</f>
        <v>87</v>
      </c>
      <c r="F6" s="3"/>
      <c r="G6" s="3"/>
      <c r="H6" s="3"/>
      <c r="I6" s="3"/>
      <c r="J6" s="3"/>
      <c r="K6" s="3"/>
    </row>
    <row r="7" spans="2:12" x14ac:dyDescent="0.2">
      <c r="B7" s="192" t="s">
        <v>207</v>
      </c>
      <c r="C7" s="192"/>
      <c r="D7" s="192"/>
      <c r="E7" s="104">
        <f>C_PNEC_Aquatic_Surrounding</f>
        <v>7.8</v>
      </c>
      <c r="F7" s="3"/>
      <c r="G7" s="3"/>
      <c r="H7" s="3"/>
      <c r="I7" s="3"/>
      <c r="J7" s="3"/>
      <c r="K7" s="3"/>
    </row>
    <row r="8" spans="2:12" x14ac:dyDescent="0.2">
      <c r="B8" s="192" t="s">
        <v>206</v>
      </c>
      <c r="C8" s="192"/>
      <c r="D8" s="192"/>
      <c r="E8" s="104">
        <f>C_PNEC_Sediment_Surrounding</f>
        <v>87</v>
      </c>
      <c r="F8" s="3"/>
      <c r="G8" s="3"/>
      <c r="H8" s="3"/>
      <c r="I8" s="3"/>
      <c r="J8" s="3"/>
      <c r="K8" s="3"/>
    </row>
    <row r="9" spans="2:12" ht="13.5" thickBot="1" x14ac:dyDescent="0.25"/>
    <row r="10" spans="2:12" ht="15" x14ac:dyDescent="0.2">
      <c r="B10" s="194" t="s">
        <v>104</v>
      </c>
      <c r="C10" s="195"/>
      <c r="D10" s="195"/>
      <c r="E10" s="195"/>
      <c r="F10" s="195"/>
      <c r="G10" s="195"/>
      <c r="H10" s="195"/>
      <c r="I10" s="195"/>
      <c r="J10" s="195"/>
      <c r="K10" s="195"/>
    </row>
    <row r="11" spans="2:12" ht="99.95" customHeight="1" x14ac:dyDescent="0.2">
      <c r="B11" s="102" t="s">
        <v>9</v>
      </c>
      <c r="C11" s="102" t="s">
        <v>11</v>
      </c>
      <c r="D11" s="13" t="s">
        <v>73</v>
      </c>
      <c r="E11" s="13" t="s">
        <v>208</v>
      </c>
      <c r="F11" s="13" t="s">
        <v>74</v>
      </c>
      <c r="G11" s="13" t="s">
        <v>209</v>
      </c>
      <c r="H11" s="13" t="s">
        <v>210</v>
      </c>
      <c r="I11" s="13" t="s">
        <v>211</v>
      </c>
      <c r="J11" s="13" t="s">
        <v>212</v>
      </c>
      <c r="K11" s="13" t="s">
        <v>213</v>
      </c>
    </row>
    <row r="12" spans="2:12" ht="14.25" x14ac:dyDescent="0.2">
      <c r="B12" s="105" t="s">
        <v>172</v>
      </c>
      <c r="C12" s="105" t="str">
        <f>C_Compound_Name</f>
        <v>Copper</v>
      </c>
      <c r="D12" s="54" t="e">
        <f>'C_Regulatory_ Marinas_Calc'!I21</f>
        <v>#DIV/0!</v>
      </c>
      <c r="E12" s="54" t="e">
        <f>'C_Regulatory_ Marinas_Calc'!J21</f>
        <v>#DIV/0!</v>
      </c>
      <c r="F12" s="54" t="e">
        <f>'C_Regulatory_ Marinas_Calc'!K21</f>
        <v>#DIV/0!</v>
      </c>
      <c r="G12" s="54" t="e">
        <f>'C_Regulatory_ Marinas_Calc'!L21</f>
        <v>#DIV/0!</v>
      </c>
      <c r="H12" s="108" t="e">
        <f>'C_Regulatory_ Marinas_Calc'!Q21</f>
        <v>#DIV/0!</v>
      </c>
      <c r="I12" s="108" t="e">
        <f>'C_Regulatory_ Marinas_Calc'!R21</f>
        <v>#DIV/0!</v>
      </c>
      <c r="J12" s="108" t="e">
        <f>'C_Regulatory_ Marinas_Calc'!S21</f>
        <v>#DIV/0!</v>
      </c>
      <c r="K12" s="108" t="e">
        <f>'C_Regulatory_ Marinas_Calc'!T21</f>
        <v>#DIV/0!</v>
      </c>
    </row>
    <row r="13" spans="2:12" ht="14.25" x14ac:dyDescent="0.2">
      <c r="B13" s="105" t="s">
        <v>173</v>
      </c>
      <c r="C13" s="105" t="str">
        <f>C_Compound_Name</f>
        <v>Copper</v>
      </c>
      <c r="D13" s="54" t="e">
        <f>'C_Regulatory_ Marinas_Calc'!I22</f>
        <v>#DIV/0!</v>
      </c>
      <c r="E13" s="54" t="e">
        <f>'C_Regulatory_ Marinas_Calc'!J22</f>
        <v>#DIV/0!</v>
      </c>
      <c r="F13" s="54" t="e">
        <f>'C_Regulatory_ Marinas_Calc'!K22</f>
        <v>#DIV/0!</v>
      </c>
      <c r="G13" s="54" t="e">
        <f>'C_Regulatory_ Marinas_Calc'!L22</f>
        <v>#DIV/0!</v>
      </c>
      <c r="H13" s="108" t="e">
        <f>'C_Regulatory_ Marinas_Calc'!Q22</f>
        <v>#DIV/0!</v>
      </c>
      <c r="I13" s="108" t="e">
        <f>'C_Regulatory_ Marinas_Calc'!R22</f>
        <v>#DIV/0!</v>
      </c>
      <c r="J13" s="108" t="e">
        <f>'C_Regulatory_ Marinas_Calc'!S22</f>
        <v>#DIV/0!</v>
      </c>
      <c r="K13" s="108" t="e">
        <f>'C_Regulatory_ Marinas_Calc'!T22</f>
        <v>#DIV/0!</v>
      </c>
    </row>
  </sheetData>
  <mergeCells count="7">
    <mergeCell ref="B10:K10"/>
    <mergeCell ref="B2:L2"/>
    <mergeCell ref="B4:E4"/>
    <mergeCell ref="B5:D5"/>
    <mergeCell ref="B6:D6"/>
    <mergeCell ref="B7:D7"/>
    <mergeCell ref="B8:D8"/>
  </mergeCells>
  <conditionalFormatting sqref="H12:K13">
    <cfRule type="cellIs" dxfId="8" priority="1" operator="lessThan">
      <formula>1</formula>
    </cfRule>
    <cfRule type="cellIs" dxfId="7" priority="2" operator="greaterThan">
      <formula>1</formula>
    </cfRule>
    <cfRule type="cellIs" dxfId="6" priority="3" operator="equal">
      <formula>1</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2:O78"/>
  <sheetViews>
    <sheetView zoomScale="90" zoomScaleNormal="90" workbookViewId="0"/>
  </sheetViews>
  <sheetFormatPr defaultRowHeight="12.75" x14ac:dyDescent="0.2"/>
  <cols>
    <col min="1" max="1" width="9" style="3"/>
    <col min="2" max="2" width="22.625" style="3" customWidth="1"/>
    <col min="3" max="3" width="4" style="3" bestFit="1" customWidth="1"/>
    <col min="4" max="4" width="6.375" style="3" customWidth="1"/>
    <col min="5" max="5" width="25.625" style="3" customWidth="1"/>
    <col min="6" max="13" width="11.625" style="3" customWidth="1"/>
    <col min="14" max="16384" width="9" style="3"/>
  </cols>
  <sheetData>
    <row r="2" spans="2:14" ht="21" thickBot="1" x14ac:dyDescent="0.35">
      <c r="B2" s="191" t="s">
        <v>103</v>
      </c>
      <c r="C2" s="191"/>
      <c r="D2" s="191"/>
      <c r="E2" s="191"/>
      <c r="F2" s="191"/>
      <c r="G2" s="191"/>
      <c r="H2" s="191"/>
      <c r="I2" s="191"/>
      <c r="J2" s="191"/>
      <c r="K2" s="191"/>
      <c r="L2" s="191"/>
      <c r="M2" s="191"/>
      <c r="N2" s="191"/>
    </row>
    <row r="3" spans="2:14" ht="13.5" thickTop="1" x14ac:dyDescent="0.2">
      <c r="B3" s="148" t="str">
        <f>Tooltype</f>
        <v>Freshwater calculator tool</v>
      </c>
      <c r="C3" s="91"/>
      <c r="D3" s="91"/>
      <c r="E3" s="91"/>
      <c r="F3" s="91"/>
      <c r="G3" s="91"/>
      <c r="H3" s="91"/>
      <c r="I3" s="91"/>
      <c r="J3" s="91"/>
      <c r="K3" s="91"/>
      <c r="L3" s="91"/>
      <c r="M3" s="91"/>
    </row>
    <row r="4" spans="2:14" ht="15" x14ac:dyDescent="0.2">
      <c r="B4" s="193" t="s">
        <v>88</v>
      </c>
      <c r="C4" s="193"/>
      <c r="D4" s="193"/>
      <c r="E4" s="193"/>
      <c r="F4" s="193"/>
      <c r="G4" s="193"/>
      <c r="H4" s="91"/>
      <c r="I4" s="91"/>
      <c r="J4" s="91"/>
      <c r="K4" s="91"/>
      <c r="L4" s="91"/>
      <c r="M4" s="91"/>
    </row>
    <row r="5" spans="2:14" x14ac:dyDescent="0.2">
      <c r="B5" s="192" t="s">
        <v>202</v>
      </c>
      <c r="C5" s="192"/>
      <c r="D5" s="192"/>
      <c r="E5" s="192"/>
      <c r="F5" s="192"/>
      <c r="G5" s="104">
        <f>P_PNEC_Aquatic_Inside</f>
        <v>1.7600000000000001E-2</v>
      </c>
      <c r="I5" s="91"/>
      <c r="J5" s="91"/>
      <c r="K5" s="91"/>
      <c r="L5" s="91"/>
      <c r="M5" s="91"/>
    </row>
    <row r="6" spans="2:14" x14ac:dyDescent="0.2">
      <c r="B6" s="192" t="s">
        <v>203</v>
      </c>
      <c r="C6" s="192"/>
      <c r="D6" s="192"/>
      <c r="E6" s="192"/>
      <c r="F6" s="192"/>
      <c r="G6" s="104">
        <f>P_PNEC_Sediment_Inside</f>
        <v>8.5000000000000006E-3</v>
      </c>
      <c r="I6" s="91"/>
      <c r="J6" s="91"/>
      <c r="K6" s="91"/>
      <c r="L6" s="91"/>
      <c r="M6" s="91"/>
    </row>
    <row r="7" spans="2:14" x14ac:dyDescent="0.2">
      <c r="B7" s="192" t="s">
        <v>204</v>
      </c>
      <c r="C7" s="192"/>
      <c r="D7" s="192"/>
      <c r="E7" s="192"/>
      <c r="F7" s="192"/>
      <c r="G7" s="104">
        <f>P_PNEC_Aquatic_Surrounding</f>
        <v>1.7600000000000001E-2</v>
      </c>
      <c r="I7" s="91"/>
      <c r="J7" s="91"/>
      <c r="K7" s="91"/>
      <c r="L7" s="91"/>
      <c r="M7" s="91"/>
    </row>
    <row r="8" spans="2:14" x14ac:dyDescent="0.2">
      <c r="B8" s="192" t="s">
        <v>205</v>
      </c>
      <c r="C8" s="192"/>
      <c r="D8" s="192"/>
      <c r="E8" s="192"/>
      <c r="F8" s="192"/>
      <c r="G8" s="104">
        <f>P_PNEC_Sediment_Surrounding</f>
        <v>8.5000000000000006E-3</v>
      </c>
      <c r="I8" s="91"/>
      <c r="J8" s="91"/>
      <c r="K8" s="91"/>
      <c r="L8" s="91"/>
      <c r="M8" s="91"/>
    </row>
    <row r="10" spans="2:14" ht="15" x14ac:dyDescent="0.2">
      <c r="B10" s="171" t="s">
        <v>64</v>
      </c>
      <c r="C10" s="171"/>
      <c r="D10" s="171"/>
      <c r="E10" s="171"/>
      <c r="F10" s="171"/>
      <c r="G10" s="171"/>
      <c r="H10" s="171"/>
      <c r="I10" s="171"/>
      <c r="J10" s="171"/>
      <c r="K10" s="171"/>
      <c r="L10" s="171"/>
      <c r="M10" s="171"/>
    </row>
    <row r="11" spans="2:14" ht="99.95" customHeight="1" x14ac:dyDescent="0.2">
      <c r="B11" s="102" t="s">
        <v>9</v>
      </c>
      <c r="C11" s="93" t="s">
        <v>187</v>
      </c>
      <c r="D11" s="93" t="s">
        <v>186</v>
      </c>
      <c r="E11" s="102" t="s">
        <v>11</v>
      </c>
      <c r="F11" s="13" t="s">
        <v>73</v>
      </c>
      <c r="G11" s="13" t="s">
        <v>208</v>
      </c>
      <c r="H11" s="13" t="s">
        <v>74</v>
      </c>
      <c r="I11" s="13" t="s">
        <v>209</v>
      </c>
      <c r="J11" s="13" t="s">
        <v>210</v>
      </c>
      <c r="K11" s="13" t="s">
        <v>211</v>
      </c>
      <c r="L11" s="13" t="s">
        <v>212</v>
      </c>
      <c r="M11" s="13" t="s">
        <v>213</v>
      </c>
    </row>
    <row r="12" spans="2:14" ht="14.25" customHeight="1" x14ac:dyDescent="0.2">
      <c r="B12" s="103" t="s">
        <v>106</v>
      </c>
      <c r="C12" s="75" t="s">
        <v>107</v>
      </c>
      <c r="D12" s="75">
        <v>1</v>
      </c>
      <c r="E12" s="103" t="str">
        <f t="shared" ref="E12:E57" si="0">P_Compound_Name</f>
        <v>Pyrithione</v>
      </c>
      <c r="F12" s="76" t="e">
        <f>'P_EU Marinas_Scenario_Calc'!K21</f>
        <v>#DIV/0!</v>
      </c>
      <c r="G12" s="76" t="e">
        <f>'P_EU Marinas_Scenario_Calc'!L21</f>
        <v>#DIV/0!</v>
      </c>
      <c r="H12" s="76" t="e">
        <f>'P_EU Marinas_Scenario_Calc'!M21</f>
        <v>#DIV/0!</v>
      </c>
      <c r="I12" s="76" t="e">
        <f>'P_EU Marinas_Scenario_Calc'!N21</f>
        <v>#DIV/0!</v>
      </c>
      <c r="J12" s="76" t="e">
        <f>'P_EU Marinas_Scenario_Calc'!S21</f>
        <v>#DIV/0!</v>
      </c>
      <c r="K12" s="76" t="e">
        <f>'P_EU Marinas_Scenario_Calc'!T21</f>
        <v>#DIV/0!</v>
      </c>
      <c r="L12" s="76" t="e">
        <f>'P_EU Marinas_Scenario_Calc'!U21</f>
        <v>#DIV/0!</v>
      </c>
      <c r="M12" s="76" t="e">
        <f>'P_EU Marinas_Scenario_Calc'!V21</f>
        <v>#DIV/0!</v>
      </c>
    </row>
    <row r="13" spans="2:14" ht="14.25" customHeight="1" x14ac:dyDescent="0.2">
      <c r="B13" s="103" t="s">
        <v>108</v>
      </c>
      <c r="C13" s="75" t="s">
        <v>107</v>
      </c>
      <c r="D13" s="75">
        <v>2</v>
      </c>
      <c r="E13" s="103" t="str">
        <f t="shared" si="0"/>
        <v>Pyrithione</v>
      </c>
      <c r="F13" s="76" t="e">
        <f>'P_EU Marinas_Scenario_Calc'!K22</f>
        <v>#DIV/0!</v>
      </c>
      <c r="G13" s="76" t="e">
        <f>'P_EU Marinas_Scenario_Calc'!L22</f>
        <v>#DIV/0!</v>
      </c>
      <c r="H13" s="76" t="e">
        <f>'P_EU Marinas_Scenario_Calc'!M22</f>
        <v>#DIV/0!</v>
      </c>
      <c r="I13" s="76" t="e">
        <f>'P_EU Marinas_Scenario_Calc'!N22</f>
        <v>#DIV/0!</v>
      </c>
      <c r="J13" s="76" t="e">
        <f>'P_EU Marinas_Scenario_Calc'!S22</f>
        <v>#DIV/0!</v>
      </c>
      <c r="K13" s="76" t="e">
        <f>'P_EU Marinas_Scenario_Calc'!T22</f>
        <v>#DIV/0!</v>
      </c>
      <c r="L13" s="76" t="e">
        <f>'P_EU Marinas_Scenario_Calc'!U22</f>
        <v>#DIV/0!</v>
      </c>
      <c r="M13" s="76" t="e">
        <f>'P_EU Marinas_Scenario_Calc'!V22</f>
        <v>#DIV/0!</v>
      </c>
    </row>
    <row r="14" spans="2:14" ht="14.25" customHeight="1" x14ac:dyDescent="0.2">
      <c r="B14" s="103" t="s">
        <v>109</v>
      </c>
      <c r="C14" s="75" t="s">
        <v>107</v>
      </c>
      <c r="D14" s="75">
        <v>3</v>
      </c>
      <c r="E14" s="103" t="str">
        <f t="shared" si="0"/>
        <v>Pyrithione</v>
      </c>
      <c r="F14" s="76" t="e">
        <f>'P_EU Marinas_Scenario_Calc'!K23</f>
        <v>#DIV/0!</v>
      </c>
      <c r="G14" s="76" t="e">
        <f>'P_EU Marinas_Scenario_Calc'!L23</f>
        <v>#DIV/0!</v>
      </c>
      <c r="H14" s="76" t="e">
        <f>'P_EU Marinas_Scenario_Calc'!M23</f>
        <v>#DIV/0!</v>
      </c>
      <c r="I14" s="76" t="e">
        <f>'P_EU Marinas_Scenario_Calc'!N23</f>
        <v>#DIV/0!</v>
      </c>
      <c r="J14" s="76" t="e">
        <f>'P_EU Marinas_Scenario_Calc'!S23</f>
        <v>#DIV/0!</v>
      </c>
      <c r="K14" s="76" t="e">
        <f>'P_EU Marinas_Scenario_Calc'!T23</f>
        <v>#DIV/0!</v>
      </c>
      <c r="L14" s="76" t="e">
        <f>'P_EU Marinas_Scenario_Calc'!U23</f>
        <v>#DIV/0!</v>
      </c>
      <c r="M14" s="76" t="e">
        <f>'P_EU Marinas_Scenario_Calc'!V23</f>
        <v>#DIV/0!</v>
      </c>
    </row>
    <row r="15" spans="2:14" ht="14.25" customHeight="1" x14ac:dyDescent="0.2">
      <c r="B15" s="103" t="s">
        <v>110</v>
      </c>
      <c r="C15" s="75" t="s">
        <v>107</v>
      </c>
      <c r="D15" s="75">
        <v>4</v>
      </c>
      <c r="E15" s="103" t="str">
        <f t="shared" si="0"/>
        <v>Pyrithione</v>
      </c>
      <c r="F15" s="76" t="e">
        <f>'P_EU Marinas_Scenario_Calc'!K24</f>
        <v>#DIV/0!</v>
      </c>
      <c r="G15" s="76" t="e">
        <f>'P_EU Marinas_Scenario_Calc'!L24</f>
        <v>#DIV/0!</v>
      </c>
      <c r="H15" s="76" t="e">
        <f>'P_EU Marinas_Scenario_Calc'!M24</f>
        <v>#DIV/0!</v>
      </c>
      <c r="I15" s="76" t="e">
        <f>'P_EU Marinas_Scenario_Calc'!N24</f>
        <v>#DIV/0!</v>
      </c>
      <c r="J15" s="76" t="e">
        <f>'P_EU Marinas_Scenario_Calc'!S24</f>
        <v>#DIV/0!</v>
      </c>
      <c r="K15" s="76" t="e">
        <f>'P_EU Marinas_Scenario_Calc'!T24</f>
        <v>#DIV/0!</v>
      </c>
      <c r="L15" s="76" t="e">
        <f>'P_EU Marinas_Scenario_Calc'!U24</f>
        <v>#DIV/0!</v>
      </c>
      <c r="M15" s="76" t="e">
        <f>'P_EU Marinas_Scenario_Calc'!V24</f>
        <v>#DIV/0!</v>
      </c>
    </row>
    <row r="16" spans="2:14" ht="14.25" customHeight="1" x14ac:dyDescent="0.2">
      <c r="B16" s="103" t="s">
        <v>111</v>
      </c>
      <c r="C16" s="75" t="s">
        <v>107</v>
      </c>
      <c r="D16" s="75">
        <v>5</v>
      </c>
      <c r="E16" s="103" t="str">
        <f t="shared" si="0"/>
        <v>Pyrithione</v>
      </c>
      <c r="F16" s="76" t="e">
        <f>'P_EU Marinas_Scenario_Calc'!K25</f>
        <v>#DIV/0!</v>
      </c>
      <c r="G16" s="76" t="e">
        <f>'P_EU Marinas_Scenario_Calc'!L25</f>
        <v>#DIV/0!</v>
      </c>
      <c r="H16" s="76" t="e">
        <f>'P_EU Marinas_Scenario_Calc'!M25</f>
        <v>#DIV/0!</v>
      </c>
      <c r="I16" s="76" t="e">
        <f>'P_EU Marinas_Scenario_Calc'!N25</f>
        <v>#DIV/0!</v>
      </c>
      <c r="J16" s="76" t="e">
        <f>'P_EU Marinas_Scenario_Calc'!S25</f>
        <v>#DIV/0!</v>
      </c>
      <c r="K16" s="76" t="e">
        <f>'P_EU Marinas_Scenario_Calc'!T25</f>
        <v>#DIV/0!</v>
      </c>
      <c r="L16" s="76" t="e">
        <f>'P_EU Marinas_Scenario_Calc'!U25</f>
        <v>#DIV/0!</v>
      </c>
      <c r="M16" s="76" t="e">
        <f>'P_EU Marinas_Scenario_Calc'!V25</f>
        <v>#DIV/0!</v>
      </c>
    </row>
    <row r="17" spans="2:13" ht="14.25" customHeight="1" x14ac:dyDescent="0.2">
      <c r="B17" s="103" t="s">
        <v>112</v>
      </c>
      <c r="C17" s="75" t="s">
        <v>107</v>
      </c>
      <c r="D17" s="75">
        <v>6</v>
      </c>
      <c r="E17" s="103" t="str">
        <f t="shared" si="0"/>
        <v>Pyrithione</v>
      </c>
      <c r="F17" s="76" t="e">
        <f>'P_EU Marinas_Scenario_Calc'!K26</f>
        <v>#DIV/0!</v>
      </c>
      <c r="G17" s="76" t="e">
        <f>'P_EU Marinas_Scenario_Calc'!L26</f>
        <v>#DIV/0!</v>
      </c>
      <c r="H17" s="76" t="e">
        <f>'P_EU Marinas_Scenario_Calc'!M26</f>
        <v>#DIV/0!</v>
      </c>
      <c r="I17" s="76" t="e">
        <f>'P_EU Marinas_Scenario_Calc'!N26</f>
        <v>#DIV/0!</v>
      </c>
      <c r="J17" s="76" t="e">
        <f>'P_EU Marinas_Scenario_Calc'!S26</f>
        <v>#DIV/0!</v>
      </c>
      <c r="K17" s="76" t="e">
        <f>'P_EU Marinas_Scenario_Calc'!T26</f>
        <v>#DIV/0!</v>
      </c>
      <c r="L17" s="76" t="e">
        <f>'P_EU Marinas_Scenario_Calc'!U26</f>
        <v>#DIV/0!</v>
      </c>
      <c r="M17" s="76" t="e">
        <f>'P_EU Marinas_Scenario_Calc'!V26</f>
        <v>#DIV/0!</v>
      </c>
    </row>
    <row r="18" spans="2:13" ht="14.25" customHeight="1" x14ac:dyDescent="0.2">
      <c r="B18" s="103" t="s">
        <v>113</v>
      </c>
      <c r="C18" s="75" t="s">
        <v>107</v>
      </c>
      <c r="D18" s="75">
        <v>7</v>
      </c>
      <c r="E18" s="103" t="str">
        <f t="shared" si="0"/>
        <v>Pyrithione</v>
      </c>
      <c r="F18" s="76" t="e">
        <f>'P_EU Marinas_Scenario_Calc'!K27</f>
        <v>#DIV/0!</v>
      </c>
      <c r="G18" s="76" t="e">
        <f>'P_EU Marinas_Scenario_Calc'!L27</f>
        <v>#DIV/0!</v>
      </c>
      <c r="H18" s="76" t="e">
        <f>'P_EU Marinas_Scenario_Calc'!M27</f>
        <v>#DIV/0!</v>
      </c>
      <c r="I18" s="76" t="e">
        <f>'P_EU Marinas_Scenario_Calc'!N27</f>
        <v>#DIV/0!</v>
      </c>
      <c r="J18" s="76" t="e">
        <f>'P_EU Marinas_Scenario_Calc'!S27</f>
        <v>#DIV/0!</v>
      </c>
      <c r="K18" s="76" t="e">
        <f>'P_EU Marinas_Scenario_Calc'!T27</f>
        <v>#DIV/0!</v>
      </c>
      <c r="L18" s="76" t="e">
        <f>'P_EU Marinas_Scenario_Calc'!U27</f>
        <v>#DIV/0!</v>
      </c>
      <c r="M18" s="76" t="e">
        <f>'P_EU Marinas_Scenario_Calc'!V27</f>
        <v>#DIV/0!</v>
      </c>
    </row>
    <row r="19" spans="2:13" ht="14.25" customHeight="1" x14ac:dyDescent="0.2">
      <c r="B19" s="103" t="s">
        <v>114</v>
      </c>
      <c r="C19" s="75" t="s">
        <v>115</v>
      </c>
      <c r="D19" s="75">
        <v>2</v>
      </c>
      <c r="E19" s="103" t="str">
        <f t="shared" si="0"/>
        <v>Pyrithione</v>
      </c>
      <c r="F19" s="76" t="e">
        <f>'P_EU Marinas_Scenario_Calc'!K28</f>
        <v>#DIV/0!</v>
      </c>
      <c r="G19" s="76" t="e">
        <f>'P_EU Marinas_Scenario_Calc'!L28</f>
        <v>#DIV/0!</v>
      </c>
      <c r="H19" s="76" t="e">
        <f>'P_EU Marinas_Scenario_Calc'!M28</f>
        <v>#DIV/0!</v>
      </c>
      <c r="I19" s="76" t="e">
        <f>'P_EU Marinas_Scenario_Calc'!N28</f>
        <v>#DIV/0!</v>
      </c>
      <c r="J19" s="76" t="e">
        <f>'P_EU Marinas_Scenario_Calc'!S28</f>
        <v>#DIV/0!</v>
      </c>
      <c r="K19" s="76" t="e">
        <f>'P_EU Marinas_Scenario_Calc'!T28</f>
        <v>#DIV/0!</v>
      </c>
      <c r="L19" s="76" t="e">
        <f>'P_EU Marinas_Scenario_Calc'!U28</f>
        <v>#DIV/0!</v>
      </c>
      <c r="M19" s="76" t="e">
        <f>'P_EU Marinas_Scenario_Calc'!V28</f>
        <v>#DIV/0!</v>
      </c>
    </row>
    <row r="20" spans="2:13" ht="14.25" customHeight="1" x14ac:dyDescent="0.2">
      <c r="B20" s="103" t="s">
        <v>116</v>
      </c>
      <c r="C20" s="75" t="s">
        <v>115</v>
      </c>
      <c r="D20" s="75">
        <v>3</v>
      </c>
      <c r="E20" s="103" t="str">
        <f t="shared" si="0"/>
        <v>Pyrithione</v>
      </c>
      <c r="F20" s="76" t="e">
        <f>'P_EU Marinas_Scenario_Calc'!K29</f>
        <v>#DIV/0!</v>
      </c>
      <c r="G20" s="76" t="e">
        <f>'P_EU Marinas_Scenario_Calc'!L29</f>
        <v>#DIV/0!</v>
      </c>
      <c r="H20" s="76" t="e">
        <f>'P_EU Marinas_Scenario_Calc'!M29</f>
        <v>#DIV/0!</v>
      </c>
      <c r="I20" s="76" t="e">
        <f>'P_EU Marinas_Scenario_Calc'!N29</f>
        <v>#DIV/0!</v>
      </c>
      <c r="J20" s="76" t="e">
        <f>'P_EU Marinas_Scenario_Calc'!S29</f>
        <v>#DIV/0!</v>
      </c>
      <c r="K20" s="76" t="e">
        <f>'P_EU Marinas_Scenario_Calc'!T29</f>
        <v>#DIV/0!</v>
      </c>
      <c r="L20" s="76" t="e">
        <f>'P_EU Marinas_Scenario_Calc'!U29</f>
        <v>#DIV/0!</v>
      </c>
      <c r="M20" s="76" t="e">
        <f>'P_EU Marinas_Scenario_Calc'!V29</f>
        <v>#DIV/0!</v>
      </c>
    </row>
    <row r="21" spans="2:13" ht="14.25" customHeight="1" x14ac:dyDescent="0.2">
      <c r="B21" s="103" t="s">
        <v>117</v>
      </c>
      <c r="C21" s="75" t="s">
        <v>115</v>
      </c>
      <c r="D21" s="75">
        <v>5</v>
      </c>
      <c r="E21" s="103" t="str">
        <f t="shared" si="0"/>
        <v>Pyrithione</v>
      </c>
      <c r="F21" s="76" t="e">
        <f>'P_EU Marinas_Scenario_Calc'!K30</f>
        <v>#DIV/0!</v>
      </c>
      <c r="G21" s="76" t="e">
        <f>'P_EU Marinas_Scenario_Calc'!L30</f>
        <v>#DIV/0!</v>
      </c>
      <c r="H21" s="76" t="e">
        <f>'P_EU Marinas_Scenario_Calc'!M30</f>
        <v>#DIV/0!</v>
      </c>
      <c r="I21" s="76" t="e">
        <f>'P_EU Marinas_Scenario_Calc'!N30</f>
        <v>#DIV/0!</v>
      </c>
      <c r="J21" s="76" t="e">
        <f>'P_EU Marinas_Scenario_Calc'!S30</f>
        <v>#DIV/0!</v>
      </c>
      <c r="K21" s="76" t="e">
        <f>'P_EU Marinas_Scenario_Calc'!T30</f>
        <v>#DIV/0!</v>
      </c>
      <c r="L21" s="76" t="e">
        <f>'P_EU Marinas_Scenario_Calc'!U30</f>
        <v>#DIV/0!</v>
      </c>
      <c r="M21" s="76" t="e">
        <f>'P_EU Marinas_Scenario_Calc'!V30</f>
        <v>#DIV/0!</v>
      </c>
    </row>
    <row r="22" spans="2:13" ht="14.25" customHeight="1" x14ac:dyDescent="0.2">
      <c r="B22" s="103" t="s">
        <v>118</v>
      </c>
      <c r="C22" s="75" t="s">
        <v>115</v>
      </c>
      <c r="D22" s="75">
        <v>6</v>
      </c>
      <c r="E22" s="103" t="str">
        <f t="shared" si="0"/>
        <v>Pyrithione</v>
      </c>
      <c r="F22" s="76" t="e">
        <f>'P_EU Marinas_Scenario_Calc'!K31</f>
        <v>#DIV/0!</v>
      </c>
      <c r="G22" s="76" t="e">
        <f>'P_EU Marinas_Scenario_Calc'!L31</f>
        <v>#DIV/0!</v>
      </c>
      <c r="H22" s="76" t="e">
        <f>'P_EU Marinas_Scenario_Calc'!M31</f>
        <v>#DIV/0!</v>
      </c>
      <c r="I22" s="76" t="e">
        <f>'P_EU Marinas_Scenario_Calc'!N31</f>
        <v>#DIV/0!</v>
      </c>
      <c r="J22" s="76" t="e">
        <f>'P_EU Marinas_Scenario_Calc'!S31</f>
        <v>#DIV/0!</v>
      </c>
      <c r="K22" s="76" t="e">
        <f>'P_EU Marinas_Scenario_Calc'!T31</f>
        <v>#DIV/0!</v>
      </c>
      <c r="L22" s="76" t="e">
        <f>'P_EU Marinas_Scenario_Calc'!U31</f>
        <v>#DIV/0!</v>
      </c>
      <c r="M22" s="76" t="e">
        <f>'P_EU Marinas_Scenario_Calc'!V31</f>
        <v>#DIV/0!</v>
      </c>
    </row>
    <row r="23" spans="2:13" ht="14.25" customHeight="1" x14ac:dyDescent="0.2">
      <c r="B23" s="103" t="s">
        <v>119</v>
      </c>
      <c r="C23" s="75" t="s">
        <v>115</v>
      </c>
      <c r="D23" s="75">
        <v>11</v>
      </c>
      <c r="E23" s="103" t="str">
        <f t="shared" si="0"/>
        <v>Pyrithione</v>
      </c>
      <c r="F23" s="76" t="e">
        <f>'P_EU Marinas_Scenario_Calc'!K32</f>
        <v>#DIV/0!</v>
      </c>
      <c r="G23" s="76" t="e">
        <f>'P_EU Marinas_Scenario_Calc'!L32</f>
        <v>#DIV/0!</v>
      </c>
      <c r="H23" s="76" t="e">
        <f>'P_EU Marinas_Scenario_Calc'!M32</f>
        <v>#DIV/0!</v>
      </c>
      <c r="I23" s="76" t="e">
        <f>'P_EU Marinas_Scenario_Calc'!N32</f>
        <v>#DIV/0!</v>
      </c>
      <c r="J23" s="76" t="e">
        <f>'P_EU Marinas_Scenario_Calc'!S32</f>
        <v>#DIV/0!</v>
      </c>
      <c r="K23" s="76" t="e">
        <f>'P_EU Marinas_Scenario_Calc'!T32</f>
        <v>#DIV/0!</v>
      </c>
      <c r="L23" s="76" t="e">
        <f>'P_EU Marinas_Scenario_Calc'!U32</f>
        <v>#DIV/0!</v>
      </c>
      <c r="M23" s="76" t="e">
        <f>'P_EU Marinas_Scenario_Calc'!V32</f>
        <v>#DIV/0!</v>
      </c>
    </row>
    <row r="24" spans="2:13" ht="14.25" customHeight="1" x14ac:dyDescent="0.2">
      <c r="B24" s="103" t="s">
        <v>120</v>
      </c>
      <c r="C24" s="75" t="s">
        <v>115</v>
      </c>
      <c r="D24" s="75">
        <v>12</v>
      </c>
      <c r="E24" s="103" t="str">
        <f t="shared" si="0"/>
        <v>Pyrithione</v>
      </c>
      <c r="F24" s="76" t="e">
        <f>'P_EU Marinas_Scenario_Calc'!K33</f>
        <v>#DIV/0!</v>
      </c>
      <c r="G24" s="76" t="e">
        <f>'P_EU Marinas_Scenario_Calc'!L33</f>
        <v>#DIV/0!</v>
      </c>
      <c r="H24" s="76" t="e">
        <f>'P_EU Marinas_Scenario_Calc'!M33</f>
        <v>#DIV/0!</v>
      </c>
      <c r="I24" s="76" t="e">
        <f>'P_EU Marinas_Scenario_Calc'!N33</f>
        <v>#DIV/0!</v>
      </c>
      <c r="J24" s="76" t="e">
        <f>'P_EU Marinas_Scenario_Calc'!S33</f>
        <v>#DIV/0!</v>
      </c>
      <c r="K24" s="76" t="e">
        <f>'P_EU Marinas_Scenario_Calc'!T33</f>
        <v>#DIV/0!</v>
      </c>
      <c r="L24" s="76" t="e">
        <f>'P_EU Marinas_Scenario_Calc'!U33</f>
        <v>#DIV/0!</v>
      </c>
      <c r="M24" s="76" t="e">
        <f>'P_EU Marinas_Scenario_Calc'!V33</f>
        <v>#DIV/0!</v>
      </c>
    </row>
    <row r="25" spans="2:13" ht="14.25" customHeight="1" x14ac:dyDescent="0.2">
      <c r="B25" s="103" t="s">
        <v>121</v>
      </c>
      <c r="C25" s="75" t="s">
        <v>12</v>
      </c>
      <c r="D25" s="75" t="s">
        <v>122</v>
      </c>
      <c r="E25" s="103" t="str">
        <f t="shared" si="0"/>
        <v>Pyrithione</v>
      </c>
      <c r="F25" s="76" t="e">
        <f>'P_EU Marinas_Scenario_Calc'!K34</f>
        <v>#DIV/0!</v>
      </c>
      <c r="G25" s="76" t="e">
        <f>'P_EU Marinas_Scenario_Calc'!L34</f>
        <v>#DIV/0!</v>
      </c>
      <c r="H25" s="76" t="e">
        <f>'P_EU Marinas_Scenario_Calc'!M34</f>
        <v>#DIV/0!</v>
      </c>
      <c r="I25" s="76" t="e">
        <f>'P_EU Marinas_Scenario_Calc'!N34</f>
        <v>#DIV/0!</v>
      </c>
      <c r="J25" s="76" t="e">
        <f>'P_EU Marinas_Scenario_Calc'!S34</f>
        <v>#DIV/0!</v>
      </c>
      <c r="K25" s="76" t="e">
        <f>'P_EU Marinas_Scenario_Calc'!T34</f>
        <v>#DIV/0!</v>
      </c>
      <c r="L25" s="76" t="e">
        <f>'P_EU Marinas_Scenario_Calc'!U34</f>
        <v>#DIV/0!</v>
      </c>
      <c r="M25" s="76" t="e">
        <f>'P_EU Marinas_Scenario_Calc'!V34</f>
        <v>#DIV/0!</v>
      </c>
    </row>
    <row r="26" spans="2:13" ht="14.25" customHeight="1" x14ac:dyDescent="0.2">
      <c r="B26" s="103" t="s">
        <v>123</v>
      </c>
      <c r="C26" s="75" t="s">
        <v>12</v>
      </c>
      <c r="D26" s="75" t="s">
        <v>124</v>
      </c>
      <c r="E26" s="103" t="str">
        <f t="shared" si="0"/>
        <v>Pyrithione</v>
      </c>
      <c r="F26" s="76" t="e">
        <f>'P_EU Marinas_Scenario_Calc'!K35</f>
        <v>#DIV/0!</v>
      </c>
      <c r="G26" s="76" t="e">
        <f>'P_EU Marinas_Scenario_Calc'!L35</f>
        <v>#DIV/0!</v>
      </c>
      <c r="H26" s="76" t="e">
        <f>'P_EU Marinas_Scenario_Calc'!M35</f>
        <v>#DIV/0!</v>
      </c>
      <c r="I26" s="76" t="e">
        <f>'P_EU Marinas_Scenario_Calc'!N35</f>
        <v>#DIV/0!</v>
      </c>
      <c r="J26" s="76" t="e">
        <f>'P_EU Marinas_Scenario_Calc'!S35</f>
        <v>#DIV/0!</v>
      </c>
      <c r="K26" s="76" t="e">
        <f>'P_EU Marinas_Scenario_Calc'!T35</f>
        <v>#DIV/0!</v>
      </c>
      <c r="L26" s="76" t="e">
        <f>'P_EU Marinas_Scenario_Calc'!U35</f>
        <v>#DIV/0!</v>
      </c>
      <c r="M26" s="76" t="e">
        <f>'P_EU Marinas_Scenario_Calc'!V35</f>
        <v>#DIV/0!</v>
      </c>
    </row>
    <row r="27" spans="2:13" ht="14.25" customHeight="1" x14ac:dyDescent="0.2">
      <c r="B27" s="103" t="s">
        <v>125</v>
      </c>
      <c r="C27" s="75" t="s">
        <v>12</v>
      </c>
      <c r="D27" s="75" t="s">
        <v>126</v>
      </c>
      <c r="E27" s="103" t="str">
        <f t="shared" si="0"/>
        <v>Pyrithione</v>
      </c>
      <c r="F27" s="76" t="e">
        <f>'P_EU Marinas_Scenario_Calc'!K36</f>
        <v>#DIV/0!</v>
      </c>
      <c r="G27" s="76" t="e">
        <f>'P_EU Marinas_Scenario_Calc'!L36</f>
        <v>#DIV/0!</v>
      </c>
      <c r="H27" s="76" t="e">
        <f>'P_EU Marinas_Scenario_Calc'!M36</f>
        <v>#DIV/0!</v>
      </c>
      <c r="I27" s="76" t="e">
        <f>'P_EU Marinas_Scenario_Calc'!N36</f>
        <v>#DIV/0!</v>
      </c>
      <c r="J27" s="76" t="e">
        <f>'P_EU Marinas_Scenario_Calc'!S36</f>
        <v>#DIV/0!</v>
      </c>
      <c r="K27" s="76" t="e">
        <f>'P_EU Marinas_Scenario_Calc'!T36</f>
        <v>#DIV/0!</v>
      </c>
      <c r="L27" s="76" t="e">
        <f>'P_EU Marinas_Scenario_Calc'!U36</f>
        <v>#DIV/0!</v>
      </c>
      <c r="M27" s="76" t="e">
        <f>'P_EU Marinas_Scenario_Calc'!V36</f>
        <v>#DIV/0!</v>
      </c>
    </row>
    <row r="28" spans="2:13" ht="14.25" customHeight="1" x14ac:dyDescent="0.2">
      <c r="B28" s="103" t="s">
        <v>127</v>
      </c>
      <c r="C28" s="75" t="s">
        <v>12</v>
      </c>
      <c r="D28" s="75" t="s">
        <v>128</v>
      </c>
      <c r="E28" s="103" t="str">
        <f t="shared" si="0"/>
        <v>Pyrithione</v>
      </c>
      <c r="F28" s="76" t="e">
        <f>'P_EU Marinas_Scenario_Calc'!K37</f>
        <v>#DIV/0!</v>
      </c>
      <c r="G28" s="76" t="e">
        <f>'P_EU Marinas_Scenario_Calc'!L37</f>
        <v>#DIV/0!</v>
      </c>
      <c r="H28" s="76" t="e">
        <f>'P_EU Marinas_Scenario_Calc'!M37</f>
        <v>#DIV/0!</v>
      </c>
      <c r="I28" s="76" t="e">
        <f>'P_EU Marinas_Scenario_Calc'!N37</f>
        <v>#DIV/0!</v>
      </c>
      <c r="J28" s="76" t="e">
        <f>'P_EU Marinas_Scenario_Calc'!S37</f>
        <v>#DIV/0!</v>
      </c>
      <c r="K28" s="76" t="e">
        <f>'P_EU Marinas_Scenario_Calc'!T37</f>
        <v>#DIV/0!</v>
      </c>
      <c r="L28" s="76" t="e">
        <f>'P_EU Marinas_Scenario_Calc'!U37</f>
        <v>#DIV/0!</v>
      </c>
      <c r="M28" s="76" t="e">
        <f>'P_EU Marinas_Scenario_Calc'!V37</f>
        <v>#DIV/0!</v>
      </c>
    </row>
    <row r="29" spans="2:13" ht="14.25" customHeight="1" x14ac:dyDescent="0.2">
      <c r="B29" s="103" t="s">
        <v>129</v>
      </c>
      <c r="C29" s="75" t="s">
        <v>12</v>
      </c>
      <c r="D29" s="75" t="s">
        <v>130</v>
      </c>
      <c r="E29" s="103" t="str">
        <f t="shared" si="0"/>
        <v>Pyrithione</v>
      </c>
      <c r="F29" s="76" t="e">
        <f>'P_EU Marinas_Scenario_Calc'!K38</f>
        <v>#DIV/0!</v>
      </c>
      <c r="G29" s="76" t="e">
        <f>'P_EU Marinas_Scenario_Calc'!L38</f>
        <v>#DIV/0!</v>
      </c>
      <c r="H29" s="76" t="e">
        <f>'P_EU Marinas_Scenario_Calc'!M38</f>
        <v>#DIV/0!</v>
      </c>
      <c r="I29" s="76" t="e">
        <f>'P_EU Marinas_Scenario_Calc'!N38</f>
        <v>#DIV/0!</v>
      </c>
      <c r="J29" s="76" t="e">
        <f>'P_EU Marinas_Scenario_Calc'!S38</f>
        <v>#DIV/0!</v>
      </c>
      <c r="K29" s="76" t="e">
        <f>'P_EU Marinas_Scenario_Calc'!T38</f>
        <v>#DIV/0!</v>
      </c>
      <c r="L29" s="76" t="e">
        <f>'P_EU Marinas_Scenario_Calc'!U38</f>
        <v>#DIV/0!</v>
      </c>
      <c r="M29" s="76" t="e">
        <f>'P_EU Marinas_Scenario_Calc'!V38</f>
        <v>#DIV/0!</v>
      </c>
    </row>
    <row r="30" spans="2:13" ht="14.25" customHeight="1" x14ac:dyDescent="0.2">
      <c r="B30" s="103" t="s">
        <v>131</v>
      </c>
      <c r="C30" s="75" t="s">
        <v>12</v>
      </c>
      <c r="D30" s="75" t="s">
        <v>132</v>
      </c>
      <c r="E30" s="103" t="str">
        <f t="shared" si="0"/>
        <v>Pyrithione</v>
      </c>
      <c r="F30" s="76" t="e">
        <f>'P_EU Marinas_Scenario_Calc'!K39</f>
        <v>#DIV/0!</v>
      </c>
      <c r="G30" s="76" t="e">
        <f>'P_EU Marinas_Scenario_Calc'!L39</f>
        <v>#DIV/0!</v>
      </c>
      <c r="H30" s="76" t="e">
        <f>'P_EU Marinas_Scenario_Calc'!M39</f>
        <v>#DIV/0!</v>
      </c>
      <c r="I30" s="76" t="e">
        <f>'P_EU Marinas_Scenario_Calc'!N39</f>
        <v>#DIV/0!</v>
      </c>
      <c r="J30" s="76" t="e">
        <f>'P_EU Marinas_Scenario_Calc'!S39</f>
        <v>#DIV/0!</v>
      </c>
      <c r="K30" s="76" t="e">
        <f>'P_EU Marinas_Scenario_Calc'!T39</f>
        <v>#DIV/0!</v>
      </c>
      <c r="L30" s="76" t="e">
        <f>'P_EU Marinas_Scenario_Calc'!U39</f>
        <v>#DIV/0!</v>
      </c>
      <c r="M30" s="76" t="e">
        <f>'P_EU Marinas_Scenario_Calc'!V39</f>
        <v>#DIV/0!</v>
      </c>
    </row>
    <row r="31" spans="2:13" ht="14.25" customHeight="1" x14ac:dyDescent="0.2">
      <c r="B31" s="103" t="s">
        <v>133</v>
      </c>
      <c r="C31" s="75" t="s">
        <v>12</v>
      </c>
      <c r="D31" s="75" t="s">
        <v>134</v>
      </c>
      <c r="E31" s="103" t="str">
        <f t="shared" si="0"/>
        <v>Pyrithione</v>
      </c>
      <c r="F31" s="76" t="e">
        <f>'P_EU Marinas_Scenario_Calc'!K40</f>
        <v>#DIV/0!</v>
      </c>
      <c r="G31" s="76" t="e">
        <f>'P_EU Marinas_Scenario_Calc'!L40</f>
        <v>#DIV/0!</v>
      </c>
      <c r="H31" s="76" t="e">
        <f>'P_EU Marinas_Scenario_Calc'!M40</f>
        <v>#DIV/0!</v>
      </c>
      <c r="I31" s="76" t="e">
        <f>'P_EU Marinas_Scenario_Calc'!N40</f>
        <v>#DIV/0!</v>
      </c>
      <c r="J31" s="76" t="e">
        <f>'P_EU Marinas_Scenario_Calc'!S40</f>
        <v>#DIV/0!</v>
      </c>
      <c r="K31" s="76" t="e">
        <f>'P_EU Marinas_Scenario_Calc'!T40</f>
        <v>#DIV/0!</v>
      </c>
      <c r="L31" s="76" t="e">
        <f>'P_EU Marinas_Scenario_Calc'!U40</f>
        <v>#DIV/0!</v>
      </c>
      <c r="M31" s="76" t="e">
        <f>'P_EU Marinas_Scenario_Calc'!V40</f>
        <v>#DIV/0!</v>
      </c>
    </row>
    <row r="32" spans="2:13" ht="14.25" customHeight="1" x14ac:dyDescent="0.2">
      <c r="B32" s="103" t="s">
        <v>135</v>
      </c>
      <c r="C32" s="75" t="s">
        <v>12</v>
      </c>
      <c r="D32" s="75" t="s">
        <v>136</v>
      </c>
      <c r="E32" s="103" t="str">
        <f t="shared" si="0"/>
        <v>Pyrithione</v>
      </c>
      <c r="F32" s="76" t="e">
        <f>'P_EU Marinas_Scenario_Calc'!K41</f>
        <v>#DIV/0!</v>
      </c>
      <c r="G32" s="76" t="e">
        <f>'P_EU Marinas_Scenario_Calc'!L41</f>
        <v>#DIV/0!</v>
      </c>
      <c r="H32" s="76" t="e">
        <f>'P_EU Marinas_Scenario_Calc'!M41</f>
        <v>#DIV/0!</v>
      </c>
      <c r="I32" s="76" t="e">
        <f>'P_EU Marinas_Scenario_Calc'!N41</f>
        <v>#DIV/0!</v>
      </c>
      <c r="J32" s="76" t="e">
        <f>'P_EU Marinas_Scenario_Calc'!S41</f>
        <v>#DIV/0!</v>
      </c>
      <c r="K32" s="76" t="e">
        <f>'P_EU Marinas_Scenario_Calc'!T41</f>
        <v>#DIV/0!</v>
      </c>
      <c r="L32" s="76" t="e">
        <f>'P_EU Marinas_Scenario_Calc'!U41</f>
        <v>#DIV/0!</v>
      </c>
      <c r="M32" s="76" t="e">
        <f>'P_EU Marinas_Scenario_Calc'!V41</f>
        <v>#DIV/0!</v>
      </c>
    </row>
    <row r="33" spans="2:13" ht="14.25" customHeight="1" x14ac:dyDescent="0.2">
      <c r="B33" s="103" t="s">
        <v>137</v>
      </c>
      <c r="C33" s="75" t="s">
        <v>12</v>
      </c>
      <c r="D33" s="75" t="s">
        <v>138</v>
      </c>
      <c r="E33" s="103" t="str">
        <f t="shared" si="0"/>
        <v>Pyrithione</v>
      </c>
      <c r="F33" s="76" t="e">
        <f>'P_EU Marinas_Scenario_Calc'!K42</f>
        <v>#DIV/0!</v>
      </c>
      <c r="G33" s="76" t="e">
        <f>'P_EU Marinas_Scenario_Calc'!L42</f>
        <v>#DIV/0!</v>
      </c>
      <c r="H33" s="76" t="e">
        <f>'P_EU Marinas_Scenario_Calc'!M42</f>
        <v>#DIV/0!</v>
      </c>
      <c r="I33" s="76" t="e">
        <f>'P_EU Marinas_Scenario_Calc'!N42</f>
        <v>#DIV/0!</v>
      </c>
      <c r="J33" s="76" t="e">
        <f>'P_EU Marinas_Scenario_Calc'!S42</f>
        <v>#DIV/0!</v>
      </c>
      <c r="K33" s="76" t="e">
        <f>'P_EU Marinas_Scenario_Calc'!T42</f>
        <v>#DIV/0!</v>
      </c>
      <c r="L33" s="76" t="e">
        <f>'P_EU Marinas_Scenario_Calc'!U42</f>
        <v>#DIV/0!</v>
      </c>
      <c r="M33" s="76" t="e">
        <f>'P_EU Marinas_Scenario_Calc'!V42</f>
        <v>#DIV/0!</v>
      </c>
    </row>
    <row r="34" spans="2:13" ht="14.25" customHeight="1" x14ac:dyDescent="0.2">
      <c r="B34" s="103" t="s">
        <v>139</v>
      </c>
      <c r="C34" s="75" t="s">
        <v>12</v>
      </c>
      <c r="D34" s="75" t="s">
        <v>140</v>
      </c>
      <c r="E34" s="103" t="str">
        <f t="shared" si="0"/>
        <v>Pyrithione</v>
      </c>
      <c r="F34" s="76" t="e">
        <f>'P_EU Marinas_Scenario_Calc'!K43</f>
        <v>#DIV/0!</v>
      </c>
      <c r="G34" s="76" t="e">
        <f>'P_EU Marinas_Scenario_Calc'!L43</f>
        <v>#DIV/0!</v>
      </c>
      <c r="H34" s="76" t="e">
        <f>'P_EU Marinas_Scenario_Calc'!M43</f>
        <v>#DIV/0!</v>
      </c>
      <c r="I34" s="76" t="e">
        <f>'P_EU Marinas_Scenario_Calc'!N43</f>
        <v>#DIV/0!</v>
      </c>
      <c r="J34" s="76" t="e">
        <f>'P_EU Marinas_Scenario_Calc'!S43</f>
        <v>#DIV/0!</v>
      </c>
      <c r="K34" s="76" t="e">
        <f>'P_EU Marinas_Scenario_Calc'!T43</f>
        <v>#DIV/0!</v>
      </c>
      <c r="L34" s="76" t="e">
        <f>'P_EU Marinas_Scenario_Calc'!U43</f>
        <v>#DIV/0!</v>
      </c>
      <c r="M34" s="76" t="e">
        <f>'P_EU Marinas_Scenario_Calc'!V43</f>
        <v>#DIV/0!</v>
      </c>
    </row>
    <row r="35" spans="2:13" ht="14.25" customHeight="1" x14ac:dyDescent="0.2">
      <c r="B35" s="103" t="s">
        <v>141</v>
      </c>
      <c r="C35" s="75" t="s">
        <v>13</v>
      </c>
      <c r="D35" s="75">
        <v>1</v>
      </c>
      <c r="E35" s="103" t="str">
        <f t="shared" si="0"/>
        <v>Pyrithione</v>
      </c>
      <c r="F35" s="76" t="e">
        <f>'P_EU Marinas_Scenario_Calc'!K44</f>
        <v>#DIV/0!</v>
      </c>
      <c r="G35" s="76" t="e">
        <f>'P_EU Marinas_Scenario_Calc'!L44</f>
        <v>#DIV/0!</v>
      </c>
      <c r="H35" s="76" t="e">
        <f>'P_EU Marinas_Scenario_Calc'!M44</f>
        <v>#DIV/0!</v>
      </c>
      <c r="I35" s="76" t="e">
        <f>'P_EU Marinas_Scenario_Calc'!N44</f>
        <v>#DIV/0!</v>
      </c>
      <c r="J35" s="76" t="e">
        <f>'P_EU Marinas_Scenario_Calc'!S44</f>
        <v>#DIV/0!</v>
      </c>
      <c r="K35" s="76" t="e">
        <f>'P_EU Marinas_Scenario_Calc'!T44</f>
        <v>#DIV/0!</v>
      </c>
      <c r="L35" s="76" t="e">
        <f>'P_EU Marinas_Scenario_Calc'!U44</f>
        <v>#DIV/0!</v>
      </c>
      <c r="M35" s="76" t="e">
        <f>'P_EU Marinas_Scenario_Calc'!V44</f>
        <v>#DIV/0!</v>
      </c>
    </row>
    <row r="36" spans="2:13" ht="14.25" customHeight="1" x14ac:dyDescent="0.2">
      <c r="B36" s="103" t="s">
        <v>142</v>
      </c>
      <c r="C36" s="75" t="s">
        <v>13</v>
      </c>
      <c r="D36" s="75">
        <v>3</v>
      </c>
      <c r="E36" s="103" t="str">
        <f t="shared" si="0"/>
        <v>Pyrithione</v>
      </c>
      <c r="F36" s="76" t="e">
        <f>'P_EU Marinas_Scenario_Calc'!K45</f>
        <v>#DIV/0!</v>
      </c>
      <c r="G36" s="76" t="e">
        <f>'P_EU Marinas_Scenario_Calc'!L45</f>
        <v>#DIV/0!</v>
      </c>
      <c r="H36" s="76" t="e">
        <f>'P_EU Marinas_Scenario_Calc'!M45</f>
        <v>#DIV/0!</v>
      </c>
      <c r="I36" s="76" t="e">
        <f>'P_EU Marinas_Scenario_Calc'!N45</f>
        <v>#DIV/0!</v>
      </c>
      <c r="J36" s="76" t="e">
        <f>'P_EU Marinas_Scenario_Calc'!S45</f>
        <v>#DIV/0!</v>
      </c>
      <c r="K36" s="76" t="e">
        <f>'P_EU Marinas_Scenario_Calc'!T45</f>
        <v>#DIV/0!</v>
      </c>
      <c r="L36" s="76" t="e">
        <f>'P_EU Marinas_Scenario_Calc'!U45</f>
        <v>#DIV/0!</v>
      </c>
      <c r="M36" s="76" t="e">
        <f>'P_EU Marinas_Scenario_Calc'!V45</f>
        <v>#DIV/0!</v>
      </c>
    </row>
    <row r="37" spans="2:13" ht="14.25" customHeight="1" x14ac:dyDescent="0.2">
      <c r="B37" s="103" t="s">
        <v>143</v>
      </c>
      <c r="C37" s="75" t="s">
        <v>13</v>
      </c>
      <c r="D37" s="75">
        <v>4</v>
      </c>
      <c r="E37" s="103" t="str">
        <f t="shared" si="0"/>
        <v>Pyrithione</v>
      </c>
      <c r="F37" s="76" t="e">
        <f>'P_EU Marinas_Scenario_Calc'!K46</f>
        <v>#DIV/0!</v>
      </c>
      <c r="G37" s="76" t="e">
        <f>'P_EU Marinas_Scenario_Calc'!L46</f>
        <v>#DIV/0!</v>
      </c>
      <c r="H37" s="76" t="e">
        <f>'P_EU Marinas_Scenario_Calc'!M46</f>
        <v>#DIV/0!</v>
      </c>
      <c r="I37" s="76" t="e">
        <f>'P_EU Marinas_Scenario_Calc'!N46</f>
        <v>#DIV/0!</v>
      </c>
      <c r="J37" s="76" t="e">
        <f>'P_EU Marinas_Scenario_Calc'!S46</f>
        <v>#DIV/0!</v>
      </c>
      <c r="K37" s="76" t="e">
        <f>'P_EU Marinas_Scenario_Calc'!T46</f>
        <v>#DIV/0!</v>
      </c>
      <c r="L37" s="76" t="e">
        <f>'P_EU Marinas_Scenario_Calc'!U46</f>
        <v>#DIV/0!</v>
      </c>
      <c r="M37" s="76" t="e">
        <f>'P_EU Marinas_Scenario_Calc'!V46</f>
        <v>#DIV/0!</v>
      </c>
    </row>
    <row r="38" spans="2:13" ht="14.25" customHeight="1" x14ac:dyDescent="0.2">
      <c r="B38" s="103" t="s">
        <v>144</v>
      </c>
      <c r="C38" s="75" t="s">
        <v>13</v>
      </c>
      <c r="D38" s="75">
        <v>6</v>
      </c>
      <c r="E38" s="103" t="str">
        <f t="shared" si="0"/>
        <v>Pyrithione</v>
      </c>
      <c r="F38" s="76" t="e">
        <f>'P_EU Marinas_Scenario_Calc'!K47</f>
        <v>#DIV/0!</v>
      </c>
      <c r="G38" s="76" t="e">
        <f>'P_EU Marinas_Scenario_Calc'!L47</f>
        <v>#DIV/0!</v>
      </c>
      <c r="H38" s="76" t="e">
        <f>'P_EU Marinas_Scenario_Calc'!M47</f>
        <v>#DIV/0!</v>
      </c>
      <c r="I38" s="76" t="e">
        <f>'P_EU Marinas_Scenario_Calc'!N47</f>
        <v>#DIV/0!</v>
      </c>
      <c r="J38" s="76" t="e">
        <f>'P_EU Marinas_Scenario_Calc'!S47</f>
        <v>#DIV/0!</v>
      </c>
      <c r="K38" s="76" t="e">
        <f>'P_EU Marinas_Scenario_Calc'!T47</f>
        <v>#DIV/0!</v>
      </c>
      <c r="L38" s="76" t="e">
        <f>'P_EU Marinas_Scenario_Calc'!U47</f>
        <v>#DIV/0!</v>
      </c>
      <c r="M38" s="76" t="e">
        <f>'P_EU Marinas_Scenario_Calc'!V47</f>
        <v>#DIV/0!</v>
      </c>
    </row>
    <row r="39" spans="2:13" ht="14.25" customHeight="1" x14ac:dyDescent="0.2">
      <c r="B39" s="103" t="s">
        <v>145</v>
      </c>
      <c r="C39" s="75" t="s">
        <v>13</v>
      </c>
      <c r="D39" s="75">
        <v>7</v>
      </c>
      <c r="E39" s="103" t="str">
        <f t="shared" si="0"/>
        <v>Pyrithione</v>
      </c>
      <c r="F39" s="76" t="e">
        <f>'P_EU Marinas_Scenario_Calc'!K48</f>
        <v>#DIV/0!</v>
      </c>
      <c r="G39" s="76" t="e">
        <f>'P_EU Marinas_Scenario_Calc'!L48</f>
        <v>#DIV/0!</v>
      </c>
      <c r="H39" s="76" t="e">
        <f>'P_EU Marinas_Scenario_Calc'!M48</f>
        <v>#DIV/0!</v>
      </c>
      <c r="I39" s="76" t="e">
        <f>'P_EU Marinas_Scenario_Calc'!N48</f>
        <v>#DIV/0!</v>
      </c>
      <c r="J39" s="76" t="e">
        <f>'P_EU Marinas_Scenario_Calc'!S48</f>
        <v>#DIV/0!</v>
      </c>
      <c r="K39" s="76" t="e">
        <f>'P_EU Marinas_Scenario_Calc'!T48</f>
        <v>#DIV/0!</v>
      </c>
      <c r="L39" s="76" t="e">
        <f>'P_EU Marinas_Scenario_Calc'!U48</f>
        <v>#DIV/0!</v>
      </c>
      <c r="M39" s="76" t="e">
        <f>'P_EU Marinas_Scenario_Calc'!V48</f>
        <v>#DIV/0!</v>
      </c>
    </row>
    <row r="40" spans="2:13" ht="14.25" customHeight="1" x14ac:dyDescent="0.2">
      <c r="B40" s="103" t="s">
        <v>146</v>
      </c>
      <c r="C40" s="75" t="s">
        <v>13</v>
      </c>
      <c r="D40" s="75">
        <v>8</v>
      </c>
      <c r="E40" s="103" t="str">
        <f t="shared" si="0"/>
        <v>Pyrithione</v>
      </c>
      <c r="F40" s="76" t="e">
        <f>'P_EU Marinas_Scenario_Calc'!K49</f>
        <v>#DIV/0!</v>
      </c>
      <c r="G40" s="76" t="e">
        <f>'P_EU Marinas_Scenario_Calc'!L49</f>
        <v>#DIV/0!</v>
      </c>
      <c r="H40" s="76" t="e">
        <f>'P_EU Marinas_Scenario_Calc'!M49</f>
        <v>#DIV/0!</v>
      </c>
      <c r="I40" s="76" t="e">
        <f>'P_EU Marinas_Scenario_Calc'!N49</f>
        <v>#DIV/0!</v>
      </c>
      <c r="J40" s="76" t="e">
        <f>'P_EU Marinas_Scenario_Calc'!S49</f>
        <v>#DIV/0!</v>
      </c>
      <c r="K40" s="76" t="e">
        <f>'P_EU Marinas_Scenario_Calc'!T49</f>
        <v>#DIV/0!</v>
      </c>
      <c r="L40" s="76" t="e">
        <f>'P_EU Marinas_Scenario_Calc'!U49</f>
        <v>#DIV/0!</v>
      </c>
      <c r="M40" s="76" t="e">
        <f>'P_EU Marinas_Scenario_Calc'!V49</f>
        <v>#DIV/0!</v>
      </c>
    </row>
    <row r="41" spans="2:13" ht="14.25" customHeight="1" x14ac:dyDescent="0.2">
      <c r="B41" s="103" t="s">
        <v>147</v>
      </c>
      <c r="C41" s="75" t="s">
        <v>13</v>
      </c>
      <c r="D41" s="75">
        <v>14</v>
      </c>
      <c r="E41" s="103" t="str">
        <f t="shared" si="0"/>
        <v>Pyrithione</v>
      </c>
      <c r="F41" s="76" t="e">
        <f>'P_EU Marinas_Scenario_Calc'!K50</f>
        <v>#DIV/0!</v>
      </c>
      <c r="G41" s="76" t="e">
        <f>'P_EU Marinas_Scenario_Calc'!L50</f>
        <v>#DIV/0!</v>
      </c>
      <c r="H41" s="76" t="e">
        <f>'P_EU Marinas_Scenario_Calc'!M50</f>
        <v>#DIV/0!</v>
      </c>
      <c r="I41" s="76" t="e">
        <f>'P_EU Marinas_Scenario_Calc'!N50</f>
        <v>#DIV/0!</v>
      </c>
      <c r="J41" s="76" t="e">
        <f>'P_EU Marinas_Scenario_Calc'!S50</f>
        <v>#DIV/0!</v>
      </c>
      <c r="K41" s="76" t="e">
        <f>'P_EU Marinas_Scenario_Calc'!T50</f>
        <v>#DIV/0!</v>
      </c>
      <c r="L41" s="76" t="e">
        <f>'P_EU Marinas_Scenario_Calc'!U50</f>
        <v>#DIV/0!</v>
      </c>
      <c r="M41" s="76" t="e">
        <f>'P_EU Marinas_Scenario_Calc'!V50</f>
        <v>#DIV/0!</v>
      </c>
    </row>
    <row r="42" spans="2:13" ht="14.25" customHeight="1" x14ac:dyDescent="0.2">
      <c r="B42" s="103" t="s">
        <v>148</v>
      </c>
      <c r="C42" s="75" t="s">
        <v>13</v>
      </c>
      <c r="D42" s="75">
        <v>17</v>
      </c>
      <c r="E42" s="103" t="str">
        <f t="shared" si="0"/>
        <v>Pyrithione</v>
      </c>
      <c r="F42" s="76" t="e">
        <f>'P_EU Marinas_Scenario_Calc'!K51</f>
        <v>#DIV/0!</v>
      </c>
      <c r="G42" s="76" t="e">
        <f>'P_EU Marinas_Scenario_Calc'!L51</f>
        <v>#DIV/0!</v>
      </c>
      <c r="H42" s="76" t="e">
        <f>'P_EU Marinas_Scenario_Calc'!M51</f>
        <v>#DIV/0!</v>
      </c>
      <c r="I42" s="76" t="e">
        <f>'P_EU Marinas_Scenario_Calc'!N51</f>
        <v>#DIV/0!</v>
      </c>
      <c r="J42" s="76" t="e">
        <f>'P_EU Marinas_Scenario_Calc'!S51</f>
        <v>#DIV/0!</v>
      </c>
      <c r="K42" s="76" t="e">
        <f>'P_EU Marinas_Scenario_Calc'!T51</f>
        <v>#DIV/0!</v>
      </c>
      <c r="L42" s="76" t="e">
        <f>'P_EU Marinas_Scenario_Calc'!U51</f>
        <v>#DIV/0!</v>
      </c>
      <c r="M42" s="76" t="e">
        <f>'P_EU Marinas_Scenario_Calc'!V51</f>
        <v>#DIV/0!</v>
      </c>
    </row>
    <row r="43" spans="2:13" ht="14.25" customHeight="1" x14ac:dyDescent="0.2">
      <c r="B43" s="103" t="s">
        <v>149</v>
      </c>
      <c r="C43" s="75" t="s">
        <v>13</v>
      </c>
      <c r="D43" s="75">
        <v>21</v>
      </c>
      <c r="E43" s="103" t="str">
        <f t="shared" si="0"/>
        <v>Pyrithione</v>
      </c>
      <c r="F43" s="76" t="e">
        <f>'P_EU Marinas_Scenario_Calc'!K52</f>
        <v>#DIV/0!</v>
      </c>
      <c r="G43" s="76" t="e">
        <f>'P_EU Marinas_Scenario_Calc'!L52</f>
        <v>#DIV/0!</v>
      </c>
      <c r="H43" s="76" t="e">
        <f>'P_EU Marinas_Scenario_Calc'!M52</f>
        <v>#DIV/0!</v>
      </c>
      <c r="I43" s="76" t="e">
        <f>'P_EU Marinas_Scenario_Calc'!N52</f>
        <v>#DIV/0!</v>
      </c>
      <c r="J43" s="76" t="e">
        <f>'P_EU Marinas_Scenario_Calc'!S52</f>
        <v>#DIV/0!</v>
      </c>
      <c r="K43" s="76" t="e">
        <f>'P_EU Marinas_Scenario_Calc'!T52</f>
        <v>#DIV/0!</v>
      </c>
      <c r="L43" s="76" t="e">
        <f>'P_EU Marinas_Scenario_Calc'!U52</f>
        <v>#DIV/0!</v>
      </c>
      <c r="M43" s="76" t="e">
        <f>'P_EU Marinas_Scenario_Calc'!V52</f>
        <v>#DIV/0!</v>
      </c>
    </row>
    <row r="44" spans="2:13" ht="14.25" customHeight="1" x14ac:dyDescent="0.2">
      <c r="B44" s="103" t="s">
        <v>150</v>
      </c>
      <c r="C44" s="75" t="s">
        <v>13</v>
      </c>
      <c r="D44" s="75">
        <v>26</v>
      </c>
      <c r="E44" s="103" t="str">
        <f t="shared" si="0"/>
        <v>Pyrithione</v>
      </c>
      <c r="F44" s="76" t="e">
        <f>'P_EU Marinas_Scenario_Calc'!K53</f>
        <v>#DIV/0!</v>
      </c>
      <c r="G44" s="76" t="e">
        <f>'P_EU Marinas_Scenario_Calc'!L53</f>
        <v>#DIV/0!</v>
      </c>
      <c r="H44" s="76" t="e">
        <f>'P_EU Marinas_Scenario_Calc'!M53</f>
        <v>#DIV/0!</v>
      </c>
      <c r="I44" s="76" t="e">
        <f>'P_EU Marinas_Scenario_Calc'!N53</f>
        <v>#DIV/0!</v>
      </c>
      <c r="J44" s="76" t="e">
        <f>'P_EU Marinas_Scenario_Calc'!S53</f>
        <v>#DIV/0!</v>
      </c>
      <c r="K44" s="76" t="e">
        <f>'P_EU Marinas_Scenario_Calc'!T53</f>
        <v>#DIV/0!</v>
      </c>
      <c r="L44" s="76" t="e">
        <f>'P_EU Marinas_Scenario_Calc'!U53</f>
        <v>#DIV/0!</v>
      </c>
      <c r="M44" s="76" t="e">
        <f>'P_EU Marinas_Scenario_Calc'!V53</f>
        <v>#DIV/0!</v>
      </c>
    </row>
    <row r="45" spans="2:13" ht="14.25" customHeight="1" x14ac:dyDescent="0.2">
      <c r="B45" s="103" t="s">
        <v>151</v>
      </c>
      <c r="C45" s="75" t="s">
        <v>13</v>
      </c>
      <c r="D45" s="75">
        <v>30</v>
      </c>
      <c r="E45" s="103" t="str">
        <f t="shared" si="0"/>
        <v>Pyrithione</v>
      </c>
      <c r="F45" s="76" t="e">
        <f>'P_EU Marinas_Scenario_Calc'!K54</f>
        <v>#DIV/0!</v>
      </c>
      <c r="G45" s="76" t="e">
        <f>'P_EU Marinas_Scenario_Calc'!L54</f>
        <v>#DIV/0!</v>
      </c>
      <c r="H45" s="76" t="e">
        <f>'P_EU Marinas_Scenario_Calc'!M54</f>
        <v>#DIV/0!</v>
      </c>
      <c r="I45" s="76" t="e">
        <f>'P_EU Marinas_Scenario_Calc'!N54</f>
        <v>#DIV/0!</v>
      </c>
      <c r="J45" s="76" t="e">
        <f>'P_EU Marinas_Scenario_Calc'!S54</f>
        <v>#DIV/0!</v>
      </c>
      <c r="K45" s="76" t="e">
        <f>'P_EU Marinas_Scenario_Calc'!T54</f>
        <v>#DIV/0!</v>
      </c>
      <c r="L45" s="76" t="e">
        <f>'P_EU Marinas_Scenario_Calc'!U54</f>
        <v>#DIV/0!</v>
      </c>
      <c r="M45" s="76" t="e">
        <f>'P_EU Marinas_Scenario_Calc'!V54</f>
        <v>#DIV/0!</v>
      </c>
    </row>
    <row r="46" spans="2:13" ht="14.25" customHeight="1" x14ac:dyDescent="0.2">
      <c r="B46" s="103" t="s">
        <v>152</v>
      </c>
      <c r="C46" s="75" t="s">
        <v>13</v>
      </c>
      <c r="D46" s="75">
        <v>34</v>
      </c>
      <c r="E46" s="103" t="str">
        <f t="shared" si="0"/>
        <v>Pyrithione</v>
      </c>
      <c r="F46" s="76" t="e">
        <f>'P_EU Marinas_Scenario_Calc'!K55</f>
        <v>#DIV/0!</v>
      </c>
      <c r="G46" s="76" t="e">
        <f>'P_EU Marinas_Scenario_Calc'!L55</f>
        <v>#DIV/0!</v>
      </c>
      <c r="H46" s="76" t="e">
        <f>'P_EU Marinas_Scenario_Calc'!M55</f>
        <v>#DIV/0!</v>
      </c>
      <c r="I46" s="76" t="e">
        <f>'P_EU Marinas_Scenario_Calc'!N55</f>
        <v>#DIV/0!</v>
      </c>
      <c r="J46" s="76" t="e">
        <f>'P_EU Marinas_Scenario_Calc'!S55</f>
        <v>#DIV/0!</v>
      </c>
      <c r="K46" s="76" t="e">
        <f>'P_EU Marinas_Scenario_Calc'!T55</f>
        <v>#DIV/0!</v>
      </c>
      <c r="L46" s="76" t="e">
        <f>'P_EU Marinas_Scenario_Calc'!U55</f>
        <v>#DIV/0!</v>
      </c>
      <c r="M46" s="76" t="e">
        <f>'P_EU Marinas_Scenario_Calc'!V55</f>
        <v>#DIV/0!</v>
      </c>
    </row>
    <row r="47" spans="2:13" ht="14.25" customHeight="1" x14ac:dyDescent="0.2">
      <c r="B47" s="103" t="s">
        <v>153</v>
      </c>
      <c r="C47" s="75" t="s">
        <v>13</v>
      </c>
      <c r="D47" s="75">
        <v>40</v>
      </c>
      <c r="E47" s="103" t="str">
        <f t="shared" si="0"/>
        <v>Pyrithione</v>
      </c>
      <c r="F47" s="76" t="e">
        <f>'P_EU Marinas_Scenario_Calc'!K56</f>
        <v>#DIV/0!</v>
      </c>
      <c r="G47" s="76" t="e">
        <f>'P_EU Marinas_Scenario_Calc'!L56</f>
        <v>#DIV/0!</v>
      </c>
      <c r="H47" s="76" t="e">
        <f>'P_EU Marinas_Scenario_Calc'!M56</f>
        <v>#DIV/0!</v>
      </c>
      <c r="I47" s="76" t="e">
        <f>'P_EU Marinas_Scenario_Calc'!N56</f>
        <v>#DIV/0!</v>
      </c>
      <c r="J47" s="76" t="e">
        <f>'P_EU Marinas_Scenario_Calc'!S56</f>
        <v>#DIV/0!</v>
      </c>
      <c r="K47" s="76" t="e">
        <f>'P_EU Marinas_Scenario_Calc'!T56</f>
        <v>#DIV/0!</v>
      </c>
      <c r="L47" s="76" t="e">
        <f>'P_EU Marinas_Scenario_Calc'!U56</f>
        <v>#DIV/0!</v>
      </c>
      <c r="M47" s="76" t="e">
        <f>'P_EU Marinas_Scenario_Calc'!V56</f>
        <v>#DIV/0!</v>
      </c>
    </row>
    <row r="48" spans="2:13" ht="14.25" customHeight="1" x14ac:dyDescent="0.2">
      <c r="B48" s="103" t="s">
        <v>154</v>
      </c>
      <c r="C48" s="75" t="s">
        <v>13</v>
      </c>
      <c r="D48" s="75">
        <v>42</v>
      </c>
      <c r="E48" s="103" t="str">
        <f t="shared" si="0"/>
        <v>Pyrithione</v>
      </c>
      <c r="F48" s="76" t="e">
        <f>'P_EU Marinas_Scenario_Calc'!K57</f>
        <v>#DIV/0!</v>
      </c>
      <c r="G48" s="76" t="e">
        <f>'P_EU Marinas_Scenario_Calc'!L57</f>
        <v>#DIV/0!</v>
      </c>
      <c r="H48" s="76" t="e">
        <f>'P_EU Marinas_Scenario_Calc'!M57</f>
        <v>#DIV/0!</v>
      </c>
      <c r="I48" s="76" t="e">
        <f>'P_EU Marinas_Scenario_Calc'!N57</f>
        <v>#DIV/0!</v>
      </c>
      <c r="J48" s="76" t="e">
        <f>'P_EU Marinas_Scenario_Calc'!S57</f>
        <v>#DIV/0!</v>
      </c>
      <c r="K48" s="76" t="e">
        <f>'P_EU Marinas_Scenario_Calc'!T57</f>
        <v>#DIV/0!</v>
      </c>
      <c r="L48" s="76" t="e">
        <f>'P_EU Marinas_Scenario_Calc'!U57</f>
        <v>#DIV/0!</v>
      </c>
      <c r="M48" s="76" t="e">
        <f>'P_EU Marinas_Scenario_Calc'!V57</f>
        <v>#DIV/0!</v>
      </c>
    </row>
    <row r="49" spans="2:15" ht="14.25" customHeight="1" x14ac:dyDescent="0.2">
      <c r="B49" s="103" t="s">
        <v>155</v>
      </c>
      <c r="C49" s="75" t="s">
        <v>13</v>
      </c>
      <c r="D49" s="75">
        <v>44</v>
      </c>
      <c r="E49" s="103" t="str">
        <f t="shared" si="0"/>
        <v>Pyrithione</v>
      </c>
      <c r="F49" s="76" t="e">
        <f>'P_EU Marinas_Scenario_Calc'!K58</f>
        <v>#DIV/0!</v>
      </c>
      <c r="G49" s="76" t="e">
        <f>'P_EU Marinas_Scenario_Calc'!L58</f>
        <v>#DIV/0!</v>
      </c>
      <c r="H49" s="76" t="e">
        <f>'P_EU Marinas_Scenario_Calc'!M58</f>
        <v>#DIV/0!</v>
      </c>
      <c r="I49" s="76" t="e">
        <f>'P_EU Marinas_Scenario_Calc'!N58</f>
        <v>#DIV/0!</v>
      </c>
      <c r="J49" s="76" t="e">
        <f>'P_EU Marinas_Scenario_Calc'!S58</f>
        <v>#DIV/0!</v>
      </c>
      <c r="K49" s="76" t="e">
        <f>'P_EU Marinas_Scenario_Calc'!T58</f>
        <v>#DIV/0!</v>
      </c>
      <c r="L49" s="76" t="e">
        <f>'P_EU Marinas_Scenario_Calc'!U58</f>
        <v>#DIV/0!</v>
      </c>
      <c r="M49" s="76" t="e">
        <f>'P_EU Marinas_Scenario_Calc'!V58</f>
        <v>#DIV/0!</v>
      </c>
    </row>
    <row r="50" spans="2:15" ht="14.25" customHeight="1" x14ac:dyDescent="0.2">
      <c r="B50" s="103" t="s">
        <v>156</v>
      </c>
      <c r="C50" s="75" t="s">
        <v>13</v>
      </c>
      <c r="D50" s="75">
        <v>45</v>
      </c>
      <c r="E50" s="103" t="str">
        <f t="shared" si="0"/>
        <v>Pyrithione</v>
      </c>
      <c r="F50" s="76" t="e">
        <f>'P_EU Marinas_Scenario_Calc'!K59</f>
        <v>#DIV/0!</v>
      </c>
      <c r="G50" s="76" t="e">
        <f>'P_EU Marinas_Scenario_Calc'!L59</f>
        <v>#DIV/0!</v>
      </c>
      <c r="H50" s="76" t="e">
        <f>'P_EU Marinas_Scenario_Calc'!M59</f>
        <v>#DIV/0!</v>
      </c>
      <c r="I50" s="76" t="e">
        <f>'P_EU Marinas_Scenario_Calc'!N59</f>
        <v>#DIV/0!</v>
      </c>
      <c r="J50" s="76" t="e">
        <f>'P_EU Marinas_Scenario_Calc'!S59</f>
        <v>#DIV/0!</v>
      </c>
      <c r="K50" s="76" t="e">
        <f>'P_EU Marinas_Scenario_Calc'!T59</f>
        <v>#DIV/0!</v>
      </c>
      <c r="L50" s="76" t="e">
        <f>'P_EU Marinas_Scenario_Calc'!U59</f>
        <v>#DIV/0!</v>
      </c>
      <c r="M50" s="76" t="e">
        <f>'P_EU Marinas_Scenario_Calc'!V59</f>
        <v>#DIV/0!</v>
      </c>
    </row>
    <row r="51" spans="2:15" ht="14.25" customHeight="1" x14ac:dyDescent="0.2">
      <c r="B51" s="103" t="s">
        <v>157</v>
      </c>
      <c r="C51" s="75" t="s">
        <v>13</v>
      </c>
      <c r="D51" s="75">
        <v>46</v>
      </c>
      <c r="E51" s="103" t="str">
        <f t="shared" si="0"/>
        <v>Pyrithione</v>
      </c>
      <c r="F51" s="76" t="e">
        <f>'P_EU Marinas_Scenario_Calc'!K60</f>
        <v>#DIV/0!</v>
      </c>
      <c r="G51" s="76" t="e">
        <f>'P_EU Marinas_Scenario_Calc'!L60</f>
        <v>#DIV/0!</v>
      </c>
      <c r="H51" s="76" t="e">
        <f>'P_EU Marinas_Scenario_Calc'!M60</f>
        <v>#DIV/0!</v>
      </c>
      <c r="I51" s="76" t="e">
        <f>'P_EU Marinas_Scenario_Calc'!N60</f>
        <v>#DIV/0!</v>
      </c>
      <c r="J51" s="76" t="e">
        <f>'P_EU Marinas_Scenario_Calc'!S60</f>
        <v>#DIV/0!</v>
      </c>
      <c r="K51" s="76" t="e">
        <f>'P_EU Marinas_Scenario_Calc'!T60</f>
        <v>#DIV/0!</v>
      </c>
      <c r="L51" s="76" t="e">
        <f>'P_EU Marinas_Scenario_Calc'!U60</f>
        <v>#DIV/0!</v>
      </c>
      <c r="M51" s="76" t="e">
        <f>'P_EU Marinas_Scenario_Calc'!V60</f>
        <v>#DIV/0!</v>
      </c>
    </row>
    <row r="52" spans="2:15" ht="14.25" customHeight="1" x14ac:dyDescent="0.2">
      <c r="B52" s="103" t="s">
        <v>158</v>
      </c>
      <c r="C52" s="75" t="s">
        <v>13</v>
      </c>
      <c r="D52" s="75">
        <v>48</v>
      </c>
      <c r="E52" s="103" t="str">
        <f t="shared" si="0"/>
        <v>Pyrithione</v>
      </c>
      <c r="F52" s="76" t="e">
        <f>'P_EU Marinas_Scenario_Calc'!K61</f>
        <v>#DIV/0!</v>
      </c>
      <c r="G52" s="76" t="e">
        <f>'P_EU Marinas_Scenario_Calc'!L61</f>
        <v>#DIV/0!</v>
      </c>
      <c r="H52" s="76" t="e">
        <f>'P_EU Marinas_Scenario_Calc'!M61</f>
        <v>#DIV/0!</v>
      </c>
      <c r="I52" s="76" t="e">
        <f>'P_EU Marinas_Scenario_Calc'!N61</f>
        <v>#DIV/0!</v>
      </c>
      <c r="J52" s="76" t="e">
        <f>'P_EU Marinas_Scenario_Calc'!S61</f>
        <v>#DIV/0!</v>
      </c>
      <c r="K52" s="76" t="e">
        <f>'P_EU Marinas_Scenario_Calc'!T61</f>
        <v>#DIV/0!</v>
      </c>
      <c r="L52" s="76" t="e">
        <f>'P_EU Marinas_Scenario_Calc'!U61</f>
        <v>#DIV/0!</v>
      </c>
      <c r="M52" s="76" t="e">
        <f>'P_EU Marinas_Scenario_Calc'!V61</f>
        <v>#DIV/0!</v>
      </c>
    </row>
    <row r="53" spans="2:15" ht="14.25" customHeight="1" x14ac:dyDescent="0.2">
      <c r="B53" s="103" t="s">
        <v>159</v>
      </c>
      <c r="C53" s="75" t="s">
        <v>160</v>
      </c>
      <c r="D53" s="75">
        <v>1</v>
      </c>
      <c r="E53" s="103" t="str">
        <f t="shared" si="0"/>
        <v>Pyrithione</v>
      </c>
      <c r="F53" s="76" t="e">
        <f>'P_EU Marinas_Scenario_Calc'!K62</f>
        <v>#DIV/0!</v>
      </c>
      <c r="G53" s="76" t="e">
        <f>'P_EU Marinas_Scenario_Calc'!L62</f>
        <v>#DIV/0!</v>
      </c>
      <c r="H53" s="76" t="e">
        <f>'P_EU Marinas_Scenario_Calc'!M62</f>
        <v>#DIV/0!</v>
      </c>
      <c r="I53" s="76" t="e">
        <f>'P_EU Marinas_Scenario_Calc'!N62</f>
        <v>#DIV/0!</v>
      </c>
      <c r="J53" s="76" t="e">
        <f>'P_EU Marinas_Scenario_Calc'!S62</f>
        <v>#DIV/0!</v>
      </c>
      <c r="K53" s="76" t="e">
        <f>'P_EU Marinas_Scenario_Calc'!T62</f>
        <v>#DIV/0!</v>
      </c>
      <c r="L53" s="76" t="e">
        <f>'P_EU Marinas_Scenario_Calc'!U62</f>
        <v>#DIV/0!</v>
      </c>
      <c r="M53" s="76" t="e">
        <f>'P_EU Marinas_Scenario_Calc'!V62</f>
        <v>#DIV/0!</v>
      </c>
    </row>
    <row r="54" spans="2:15" ht="14.25" customHeight="1" x14ac:dyDescent="0.2">
      <c r="B54" s="103" t="s">
        <v>161</v>
      </c>
      <c r="C54" s="75" t="s">
        <v>160</v>
      </c>
      <c r="D54" s="75">
        <v>2</v>
      </c>
      <c r="E54" s="103" t="str">
        <f t="shared" si="0"/>
        <v>Pyrithione</v>
      </c>
      <c r="F54" s="76" t="e">
        <f>'P_EU Marinas_Scenario_Calc'!K63</f>
        <v>#DIV/0!</v>
      </c>
      <c r="G54" s="76" t="e">
        <f>'P_EU Marinas_Scenario_Calc'!L63</f>
        <v>#DIV/0!</v>
      </c>
      <c r="H54" s="76" t="e">
        <f>'P_EU Marinas_Scenario_Calc'!M63</f>
        <v>#DIV/0!</v>
      </c>
      <c r="I54" s="76" t="e">
        <f>'P_EU Marinas_Scenario_Calc'!N63</f>
        <v>#DIV/0!</v>
      </c>
      <c r="J54" s="76" t="e">
        <f>'P_EU Marinas_Scenario_Calc'!S63</f>
        <v>#DIV/0!</v>
      </c>
      <c r="K54" s="76" t="e">
        <f>'P_EU Marinas_Scenario_Calc'!T63</f>
        <v>#DIV/0!</v>
      </c>
      <c r="L54" s="76" t="e">
        <f>'P_EU Marinas_Scenario_Calc'!U63</f>
        <v>#DIV/0!</v>
      </c>
      <c r="M54" s="76" t="e">
        <f>'P_EU Marinas_Scenario_Calc'!V63</f>
        <v>#DIV/0!</v>
      </c>
    </row>
    <row r="55" spans="2:15" ht="14.25" customHeight="1" x14ac:dyDescent="0.2">
      <c r="B55" s="103" t="s">
        <v>162</v>
      </c>
      <c r="C55" s="75" t="s">
        <v>160</v>
      </c>
      <c r="D55" s="75">
        <v>3</v>
      </c>
      <c r="E55" s="103" t="str">
        <f t="shared" si="0"/>
        <v>Pyrithione</v>
      </c>
      <c r="F55" s="76" t="e">
        <f>'P_EU Marinas_Scenario_Calc'!K64</f>
        <v>#DIV/0!</v>
      </c>
      <c r="G55" s="76" t="e">
        <f>'P_EU Marinas_Scenario_Calc'!L64</f>
        <v>#DIV/0!</v>
      </c>
      <c r="H55" s="76" t="e">
        <f>'P_EU Marinas_Scenario_Calc'!M64</f>
        <v>#DIV/0!</v>
      </c>
      <c r="I55" s="76" t="e">
        <f>'P_EU Marinas_Scenario_Calc'!N64</f>
        <v>#DIV/0!</v>
      </c>
      <c r="J55" s="76" t="e">
        <f>'P_EU Marinas_Scenario_Calc'!S64</f>
        <v>#DIV/0!</v>
      </c>
      <c r="K55" s="76" t="e">
        <f>'P_EU Marinas_Scenario_Calc'!T64</f>
        <v>#DIV/0!</v>
      </c>
      <c r="L55" s="76" t="e">
        <f>'P_EU Marinas_Scenario_Calc'!U64</f>
        <v>#DIV/0!</v>
      </c>
      <c r="M55" s="76" t="e">
        <f>'P_EU Marinas_Scenario_Calc'!V64</f>
        <v>#DIV/0!</v>
      </c>
    </row>
    <row r="56" spans="2:15" ht="14.25" customHeight="1" x14ac:dyDescent="0.2">
      <c r="B56" s="103" t="s">
        <v>163</v>
      </c>
      <c r="C56" s="75" t="s">
        <v>160</v>
      </c>
      <c r="D56" s="75">
        <v>4</v>
      </c>
      <c r="E56" s="103" t="str">
        <f t="shared" si="0"/>
        <v>Pyrithione</v>
      </c>
      <c r="F56" s="76" t="e">
        <f>'P_EU Marinas_Scenario_Calc'!K65</f>
        <v>#DIV/0!</v>
      </c>
      <c r="G56" s="76" t="e">
        <f>'P_EU Marinas_Scenario_Calc'!L65</f>
        <v>#DIV/0!</v>
      </c>
      <c r="H56" s="76" t="e">
        <f>'P_EU Marinas_Scenario_Calc'!M65</f>
        <v>#DIV/0!</v>
      </c>
      <c r="I56" s="76" t="e">
        <f>'P_EU Marinas_Scenario_Calc'!N65</f>
        <v>#DIV/0!</v>
      </c>
      <c r="J56" s="76" t="e">
        <f>'P_EU Marinas_Scenario_Calc'!S65</f>
        <v>#DIV/0!</v>
      </c>
      <c r="K56" s="76" t="e">
        <f>'P_EU Marinas_Scenario_Calc'!T65</f>
        <v>#DIV/0!</v>
      </c>
      <c r="L56" s="76" t="e">
        <f>'P_EU Marinas_Scenario_Calc'!U65</f>
        <v>#DIV/0!</v>
      </c>
      <c r="M56" s="76" t="e">
        <f>'P_EU Marinas_Scenario_Calc'!V65</f>
        <v>#DIV/0!</v>
      </c>
    </row>
    <row r="57" spans="2:15" ht="14.25" customHeight="1" x14ac:dyDescent="0.2">
      <c r="B57" s="103" t="s">
        <v>164</v>
      </c>
      <c r="C57" s="75" t="s">
        <v>160</v>
      </c>
      <c r="D57" s="75">
        <v>5</v>
      </c>
      <c r="E57" s="103" t="str">
        <f t="shared" si="0"/>
        <v>Pyrithione</v>
      </c>
      <c r="F57" s="76" t="e">
        <f>'P_EU Marinas_Scenario_Calc'!K66</f>
        <v>#DIV/0!</v>
      </c>
      <c r="G57" s="76" t="e">
        <f>'P_EU Marinas_Scenario_Calc'!L66</f>
        <v>#DIV/0!</v>
      </c>
      <c r="H57" s="76" t="e">
        <f>'P_EU Marinas_Scenario_Calc'!M66</f>
        <v>#DIV/0!</v>
      </c>
      <c r="I57" s="76" t="e">
        <f>'P_EU Marinas_Scenario_Calc'!N66</f>
        <v>#DIV/0!</v>
      </c>
      <c r="J57" s="76" t="e">
        <f>'P_EU Marinas_Scenario_Calc'!S66</f>
        <v>#DIV/0!</v>
      </c>
      <c r="K57" s="76" t="e">
        <f>'P_EU Marinas_Scenario_Calc'!T66</f>
        <v>#DIV/0!</v>
      </c>
      <c r="L57" s="76" t="e">
        <f>'P_EU Marinas_Scenario_Calc'!U66</f>
        <v>#DIV/0!</v>
      </c>
      <c r="M57" s="76" t="e">
        <f>'P_EU Marinas_Scenario_Calc'!V66</f>
        <v>#DIV/0!</v>
      </c>
    </row>
    <row r="58" spans="2:15" ht="14.25" customHeight="1" x14ac:dyDescent="0.2">
      <c r="B58" s="190" t="s">
        <v>84</v>
      </c>
      <c r="C58" s="190"/>
      <c r="D58" s="190"/>
      <c r="E58" s="190"/>
      <c r="F58" s="77" t="e">
        <f>'P_EU Marinas_Scenario_Calc'!K69</f>
        <v>#DIV/0!</v>
      </c>
      <c r="G58" s="77" t="e">
        <f>'P_EU Marinas_Scenario_Calc'!L69</f>
        <v>#DIV/0!</v>
      </c>
      <c r="H58" s="77" t="e">
        <f>'P_EU Marinas_Scenario_Calc'!M69</f>
        <v>#DIV/0!</v>
      </c>
      <c r="I58" s="77" t="e">
        <f>'P_EU Marinas_Scenario_Calc'!N69</f>
        <v>#DIV/0!</v>
      </c>
      <c r="J58" s="77" t="e">
        <f>'P_EU Marinas_Scenario_Calc'!S69</f>
        <v>#DIV/0!</v>
      </c>
      <c r="K58" s="77" t="e">
        <f>'P_EU Marinas_Scenario_Calc'!T69</f>
        <v>#DIV/0!</v>
      </c>
      <c r="L58" s="77" t="e">
        <f>'P_EU Marinas_Scenario_Calc'!U69</f>
        <v>#DIV/0!</v>
      </c>
      <c r="M58" s="77" t="e">
        <f>'P_EU Marinas_Scenario_Calc'!V69</f>
        <v>#DIV/0!</v>
      </c>
    </row>
    <row r="59" spans="2:15" ht="14.25" customHeight="1" x14ac:dyDescent="0.2">
      <c r="B59" s="190" t="s">
        <v>14</v>
      </c>
      <c r="C59" s="190"/>
      <c r="D59" s="190"/>
      <c r="E59" s="190"/>
      <c r="F59" s="77" t="e">
        <f>'P_EU Marinas_Scenario_Calc'!K67</f>
        <v>#DIV/0!</v>
      </c>
      <c r="G59" s="77" t="e">
        <f>'P_EU Marinas_Scenario_Calc'!L67</f>
        <v>#DIV/0!</v>
      </c>
      <c r="H59" s="77" t="e">
        <f>'P_EU Marinas_Scenario_Calc'!M67</f>
        <v>#DIV/0!</v>
      </c>
      <c r="I59" s="77" t="e">
        <f>'P_EU Marinas_Scenario_Calc'!N67</f>
        <v>#DIV/0!</v>
      </c>
      <c r="J59" s="77" t="e">
        <f>'P_EU Marinas_Scenario_Calc'!S67</f>
        <v>#DIV/0!</v>
      </c>
      <c r="K59" s="77" t="e">
        <f>'P_EU Marinas_Scenario_Calc'!T67</f>
        <v>#DIV/0!</v>
      </c>
      <c r="L59" s="77" t="e">
        <f>'P_EU Marinas_Scenario_Calc'!U67</f>
        <v>#DIV/0!</v>
      </c>
      <c r="M59" s="77" t="e">
        <f>'P_EU Marinas_Scenario_Calc'!V67</f>
        <v>#DIV/0!</v>
      </c>
    </row>
    <row r="60" spans="2:15" ht="14.25" customHeight="1" x14ac:dyDescent="0.2">
      <c r="B60" s="190" t="s">
        <v>15</v>
      </c>
      <c r="C60" s="190"/>
      <c r="D60" s="190"/>
      <c r="E60" s="190"/>
      <c r="F60" s="77" t="e">
        <f>'P_EU Marinas_Scenario_Calc'!K68</f>
        <v>#DIV/0!</v>
      </c>
      <c r="G60" s="77" t="e">
        <f>'P_EU Marinas_Scenario_Calc'!L68</f>
        <v>#DIV/0!</v>
      </c>
      <c r="H60" s="77" t="e">
        <f>'P_EU Marinas_Scenario_Calc'!M68</f>
        <v>#DIV/0!</v>
      </c>
      <c r="I60" s="77" t="e">
        <f>'P_EU Marinas_Scenario_Calc'!N68</f>
        <v>#DIV/0!</v>
      </c>
      <c r="J60" s="77" t="e">
        <f>'P_EU Marinas_Scenario_Calc'!S68</f>
        <v>#DIV/0!</v>
      </c>
      <c r="K60" s="77" t="e">
        <f>'P_EU Marinas_Scenario_Calc'!T68</f>
        <v>#DIV/0!</v>
      </c>
      <c r="L60" s="77" t="e">
        <f>'P_EU Marinas_Scenario_Calc'!U68</f>
        <v>#DIV/0!</v>
      </c>
      <c r="M60" s="77" t="e">
        <f>'P_EU Marinas_Scenario_Calc'!V68</f>
        <v>#DIV/0!</v>
      </c>
    </row>
    <row r="61" spans="2:15" x14ac:dyDescent="0.2">
      <c r="B61" s="91"/>
      <c r="C61" s="91"/>
      <c r="D61" s="91"/>
      <c r="E61" s="91"/>
      <c r="F61" s="91"/>
      <c r="G61" s="91"/>
      <c r="H61" s="91"/>
      <c r="I61" s="91"/>
      <c r="J61" s="91"/>
      <c r="K61" s="91"/>
      <c r="L61" s="91"/>
      <c r="M61" s="91"/>
    </row>
    <row r="62" spans="2:15" x14ac:dyDescent="0.2">
      <c r="B62" s="67"/>
      <c r="C62" s="67"/>
      <c r="D62" s="67"/>
      <c r="E62" s="68"/>
      <c r="F62" s="69"/>
      <c r="G62" s="69"/>
      <c r="H62" s="69"/>
      <c r="I62" s="69"/>
      <c r="J62" s="67"/>
      <c r="K62" s="67"/>
      <c r="L62" s="67"/>
      <c r="M62" s="67"/>
      <c r="N62" s="15"/>
      <c r="O62" s="15"/>
    </row>
    <row r="63" spans="2:15" x14ac:dyDescent="0.2">
      <c r="B63" s="67"/>
      <c r="C63" s="67"/>
      <c r="D63" s="67"/>
      <c r="E63" s="68"/>
      <c r="F63" s="69"/>
      <c r="G63" s="69"/>
      <c r="H63" s="69"/>
      <c r="I63" s="69"/>
      <c r="J63" s="67"/>
      <c r="K63" s="67"/>
      <c r="L63" s="67"/>
      <c r="M63" s="67"/>
      <c r="N63" s="15"/>
      <c r="O63" s="15"/>
    </row>
    <row r="64" spans="2:15" x14ac:dyDescent="0.2">
      <c r="B64" s="67"/>
      <c r="C64" s="67"/>
      <c r="D64" s="67"/>
      <c r="E64" s="68"/>
      <c r="F64" s="69"/>
      <c r="G64" s="69"/>
      <c r="H64" s="69"/>
      <c r="I64" s="69"/>
      <c r="J64" s="67"/>
      <c r="K64" s="67"/>
      <c r="L64" s="67"/>
      <c r="M64" s="67"/>
      <c r="N64" s="15"/>
      <c r="O64" s="15"/>
    </row>
    <row r="65" spans="2:15" x14ac:dyDescent="0.2">
      <c r="B65" s="67"/>
      <c r="C65" s="67"/>
      <c r="D65" s="67"/>
      <c r="E65" s="68"/>
      <c r="F65" s="69"/>
      <c r="G65" s="69"/>
      <c r="H65" s="69"/>
      <c r="I65" s="69"/>
      <c r="J65" s="67"/>
      <c r="K65" s="67"/>
      <c r="L65" s="67"/>
      <c r="M65" s="67"/>
      <c r="N65" s="15"/>
      <c r="O65" s="15"/>
    </row>
    <row r="66" spans="2:15" x14ac:dyDescent="0.2">
      <c r="B66" s="67"/>
      <c r="C66" s="67"/>
      <c r="D66" s="67"/>
      <c r="E66" s="68"/>
      <c r="F66" s="69"/>
      <c r="G66" s="69"/>
      <c r="H66" s="69"/>
      <c r="I66" s="69"/>
      <c r="J66" s="67"/>
      <c r="K66" s="67"/>
      <c r="L66" s="67"/>
      <c r="M66" s="67"/>
      <c r="N66" s="15"/>
      <c r="O66" s="15"/>
    </row>
    <row r="67" spans="2:15" x14ac:dyDescent="0.2">
      <c r="B67" s="67"/>
      <c r="C67" s="67"/>
      <c r="D67" s="67"/>
      <c r="E67" s="68"/>
      <c r="F67" s="69"/>
      <c r="G67" s="69"/>
      <c r="H67" s="69"/>
      <c r="I67" s="69"/>
      <c r="J67" s="67"/>
      <c r="K67" s="67"/>
      <c r="L67" s="67"/>
      <c r="M67" s="67"/>
      <c r="N67" s="15"/>
      <c r="O67" s="15"/>
    </row>
    <row r="68" spans="2:15" x14ac:dyDescent="0.2">
      <c r="B68" s="67"/>
      <c r="C68" s="67"/>
      <c r="D68" s="67"/>
      <c r="E68" s="68"/>
      <c r="F68" s="69"/>
      <c r="G68" s="69"/>
      <c r="H68" s="69"/>
      <c r="I68" s="69"/>
      <c r="J68" s="67"/>
      <c r="K68" s="67"/>
      <c r="L68" s="67"/>
      <c r="M68" s="67"/>
      <c r="N68" s="15"/>
      <c r="O68" s="15"/>
    </row>
    <row r="69" spans="2:15" x14ac:dyDescent="0.2">
      <c r="B69" s="67"/>
      <c r="C69" s="67"/>
      <c r="D69" s="67"/>
      <c r="E69" s="68"/>
      <c r="F69" s="69"/>
      <c r="G69" s="69"/>
      <c r="H69" s="69"/>
      <c r="I69" s="69"/>
      <c r="J69" s="67"/>
      <c r="K69" s="67"/>
      <c r="L69" s="67"/>
      <c r="M69" s="67"/>
      <c r="N69" s="15"/>
      <c r="O69" s="15"/>
    </row>
    <row r="70" spans="2:15" x14ac:dyDescent="0.2">
      <c r="B70" s="67"/>
      <c r="C70" s="67"/>
      <c r="D70" s="67"/>
      <c r="E70" s="68"/>
      <c r="F70" s="69"/>
      <c r="G70" s="69"/>
      <c r="H70" s="69"/>
      <c r="I70" s="69"/>
      <c r="J70" s="67"/>
      <c r="K70" s="67"/>
      <c r="L70" s="67"/>
      <c r="M70" s="67"/>
      <c r="N70" s="15"/>
      <c r="O70" s="15"/>
    </row>
    <row r="71" spans="2:15" x14ac:dyDescent="0.2">
      <c r="B71" s="67"/>
      <c r="C71" s="67"/>
      <c r="D71" s="67"/>
      <c r="E71" s="68"/>
      <c r="F71" s="69"/>
      <c r="G71" s="69"/>
      <c r="H71" s="69"/>
      <c r="I71" s="69"/>
      <c r="J71" s="67"/>
      <c r="K71" s="67"/>
      <c r="L71" s="67"/>
      <c r="M71" s="67"/>
      <c r="N71" s="15"/>
      <c r="O71" s="15"/>
    </row>
    <row r="72" spans="2:15" x14ac:dyDescent="0.2">
      <c r="B72" s="67"/>
      <c r="C72" s="67"/>
      <c r="D72" s="67"/>
      <c r="E72" s="68"/>
      <c r="F72" s="69"/>
      <c r="G72" s="69"/>
      <c r="H72" s="69"/>
      <c r="I72" s="69"/>
      <c r="J72" s="67"/>
      <c r="K72" s="67"/>
      <c r="L72" s="67"/>
      <c r="M72" s="67"/>
      <c r="N72" s="15"/>
      <c r="O72" s="15"/>
    </row>
    <row r="73" spans="2:15" x14ac:dyDescent="0.2">
      <c r="B73" s="67"/>
      <c r="C73" s="67"/>
      <c r="D73" s="67"/>
      <c r="E73" s="68"/>
      <c r="F73" s="69"/>
      <c r="G73" s="69"/>
      <c r="H73" s="69"/>
      <c r="I73" s="69"/>
      <c r="J73" s="67"/>
      <c r="K73" s="67"/>
      <c r="L73" s="67"/>
      <c r="M73" s="67"/>
      <c r="N73" s="15"/>
      <c r="O73" s="15"/>
    </row>
    <row r="74" spans="2:15" x14ac:dyDescent="0.2">
      <c r="B74" s="67"/>
      <c r="C74" s="67"/>
      <c r="D74" s="67"/>
      <c r="E74" s="68"/>
      <c r="F74" s="69"/>
      <c r="G74" s="69"/>
      <c r="H74" s="69"/>
      <c r="I74" s="69"/>
      <c r="J74" s="67"/>
      <c r="K74" s="67"/>
      <c r="L74" s="67"/>
      <c r="M74" s="67"/>
      <c r="N74" s="15"/>
      <c r="O74" s="15"/>
    </row>
    <row r="75" spans="2:15" x14ac:dyDescent="0.2">
      <c r="B75" s="67"/>
      <c r="C75" s="67"/>
      <c r="D75" s="67"/>
      <c r="E75" s="68"/>
      <c r="F75" s="69"/>
      <c r="G75" s="69"/>
      <c r="H75" s="69"/>
      <c r="I75" s="69"/>
      <c r="J75" s="67"/>
      <c r="K75" s="67"/>
      <c r="L75" s="67"/>
      <c r="M75" s="67"/>
      <c r="N75" s="15"/>
      <c r="O75" s="15"/>
    </row>
    <row r="76" spans="2:15" x14ac:dyDescent="0.2">
      <c r="B76" s="67"/>
      <c r="C76" s="67"/>
      <c r="D76" s="67"/>
      <c r="E76" s="68"/>
      <c r="F76" s="69"/>
      <c r="G76" s="69"/>
      <c r="H76" s="69"/>
      <c r="I76" s="69"/>
      <c r="J76" s="67"/>
      <c r="K76" s="67"/>
      <c r="L76" s="67"/>
      <c r="M76" s="67"/>
      <c r="N76" s="15"/>
      <c r="O76" s="15"/>
    </row>
    <row r="77" spans="2:15" x14ac:dyDescent="0.2">
      <c r="B77" s="15"/>
      <c r="C77" s="15"/>
      <c r="D77" s="15"/>
      <c r="E77" s="15"/>
      <c r="F77" s="15"/>
      <c r="G77" s="15"/>
      <c r="H77" s="15"/>
      <c r="I77" s="15"/>
      <c r="J77" s="15"/>
      <c r="K77" s="15"/>
      <c r="L77" s="15"/>
      <c r="M77" s="15"/>
      <c r="N77" s="15"/>
      <c r="O77" s="15"/>
    </row>
    <row r="78" spans="2:15" x14ac:dyDescent="0.2">
      <c r="B78" s="15"/>
      <c r="C78" s="15"/>
      <c r="D78" s="15"/>
      <c r="E78" s="15"/>
      <c r="F78" s="15"/>
      <c r="G78" s="15"/>
      <c r="H78" s="15"/>
      <c r="I78" s="15"/>
      <c r="J78" s="15"/>
      <c r="K78" s="15"/>
      <c r="L78" s="15"/>
      <c r="M78" s="15"/>
      <c r="N78" s="15"/>
      <c r="O78" s="15"/>
    </row>
  </sheetData>
  <mergeCells count="10">
    <mergeCell ref="B10:M10"/>
    <mergeCell ref="B58:E58"/>
    <mergeCell ref="B59:E59"/>
    <mergeCell ref="B60:E60"/>
    <mergeCell ref="B2:N2"/>
    <mergeCell ref="B4:G4"/>
    <mergeCell ref="B5:F5"/>
    <mergeCell ref="B6:F6"/>
    <mergeCell ref="B7:F7"/>
    <mergeCell ref="B8:F8"/>
  </mergeCells>
  <conditionalFormatting sqref="J12:M60">
    <cfRule type="cellIs" dxfId="5" priority="1" operator="lessThan">
      <formula>1</formula>
    </cfRule>
    <cfRule type="cellIs" dxfId="4" priority="2" operator="greaterThan">
      <formula>1</formula>
    </cfRule>
    <cfRule type="cellIs" dxfId="3" priority="3" operator="equal">
      <formula>1</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59"/>
  <sheetViews>
    <sheetView zoomScale="90" zoomScaleNormal="90" workbookViewId="0"/>
  </sheetViews>
  <sheetFormatPr defaultRowHeight="12.75" x14ac:dyDescent="0.2"/>
  <cols>
    <col min="2" max="2" width="31.75" customWidth="1"/>
    <col min="3" max="3" width="25.625" customWidth="1"/>
    <col min="4" max="11" width="11.625" customWidth="1"/>
  </cols>
  <sheetData>
    <row r="2" spans="2:12" ht="21" customHeight="1" thickBot="1" x14ac:dyDescent="0.35">
      <c r="B2" s="191" t="s">
        <v>103</v>
      </c>
      <c r="C2" s="191"/>
      <c r="D2" s="191"/>
      <c r="E2" s="191"/>
      <c r="F2" s="191"/>
      <c r="G2" s="191"/>
      <c r="H2" s="191"/>
      <c r="I2" s="191"/>
      <c r="J2" s="191"/>
      <c r="K2" s="191"/>
      <c r="L2" s="191"/>
    </row>
    <row r="3" spans="2:12" ht="13.5" thickTop="1" x14ac:dyDescent="0.2">
      <c r="B3" s="148" t="str">
        <f>Tooltype</f>
        <v>Freshwater calculator tool</v>
      </c>
      <c r="C3" s="3"/>
      <c r="D3" s="3"/>
      <c r="E3" s="3"/>
      <c r="F3" s="3"/>
      <c r="G3" s="3"/>
      <c r="H3" s="3"/>
      <c r="I3" s="3"/>
      <c r="J3" s="3"/>
      <c r="K3" s="3"/>
    </row>
    <row r="4" spans="2:12" ht="15" x14ac:dyDescent="0.2">
      <c r="B4" s="193" t="s">
        <v>88</v>
      </c>
      <c r="C4" s="193"/>
      <c r="D4" s="193"/>
      <c r="E4" s="193"/>
      <c r="F4" s="3"/>
      <c r="G4" s="3"/>
      <c r="H4" s="3"/>
      <c r="I4" s="3"/>
      <c r="J4" s="3"/>
      <c r="K4" s="3"/>
    </row>
    <row r="5" spans="2:12" x14ac:dyDescent="0.2">
      <c r="B5" s="192" t="s">
        <v>202</v>
      </c>
      <c r="C5" s="192"/>
      <c r="D5" s="192"/>
      <c r="E5" s="104">
        <f>P_PNEC_Aquatic_Inside</f>
        <v>1.7600000000000001E-2</v>
      </c>
      <c r="F5" s="3"/>
      <c r="G5" s="3"/>
      <c r="H5" s="3"/>
      <c r="I5" s="3"/>
      <c r="J5" s="3"/>
      <c r="K5" s="3"/>
    </row>
    <row r="6" spans="2:12" x14ac:dyDescent="0.2">
      <c r="B6" s="192" t="s">
        <v>203</v>
      </c>
      <c r="C6" s="192"/>
      <c r="D6" s="192"/>
      <c r="E6" s="104">
        <f>P_PNEC_Sediment_Inside</f>
        <v>8.5000000000000006E-3</v>
      </c>
      <c r="F6" s="3"/>
      <c r="G6" s="3"/>
      <c r="H6" s="3"/>
      <c r="I6" s="3"/>
      <c r="J6" s="3"/>
      <c r="K6" s="3"/>
    </row>
    <row r="7" spans="2:12" x14ac:dyDescent="0.2">
      <c r="B7" s="192" t="s">
        <v>204</v>
      </c>
      <c r="C7" s="192"/>
      <c r="D7" s="192"/>
      <c r="E7" s="104">
        <f>P_PNEC_Aquatic_Surrounding</f>
        <v>1.7600000000000001E-2</v>
      </c>
      <c r="F7" s="3"/>
      <c r="G7" s="3"/>
      <c r="H7" s="3"/>
      <c r="I7" s="3"/>
      <c r="J7" s="3"/>
      <c r="K7" s="3"/>
    </row>
    <row r="8" spans="2:12" x14ac:dyDescent="0.2">
      <c r="B8" s="192" t="s">
        <v>205</v>
      </c>
      <c r="C8" s="192"/>
      <c r="D8" s="192"/>
      <c r="E8" s="104">
        <f>P_PNEC_Sediment_Surrounding</f>
        <v>8.5000000000000006E-3</v>
      </c>
      <c r="F8" s="3"/>
      <c r="G8" s="3"/>
      <c r="H8" s="3"/>
      <c r="I8" s="3"/>
      <c r="J8" s="3"/>
      <c r="K8" s="3"/>
    </row>
    <row r="9" spans="2:12" ht="13.5" thickBot="1" x14ac:dyDescent="0.25"/>
    <row r="10" spans="2:12" ht="15" x14ac:dyDescent="0.2">
      <c r="B10" s="194" t="s">
        <v>104</v>
      </c>
      <c r="C10" s="195"/>
      <c r="D10" s="195"/>
      <c r="E10" s="195"/>
      <c r="F10" s="195"/>
      <c r="G10" s="195"/>
      <c r="H10" s="195"/>
      <c r="I10" s="195"/>
      <c r="J10" s="195"/>
      <c r="K10" s="195"/>
    </row>
    <row r="11" spans="2:12" ht="99.95" customHeight="1" x14ac:dyDescent="0.2">
      <c r="B11" s="114" t="s">
        <v>9</v>
      </c>
      <c r="C11" s="102" t="s">
        <v>11</v>
      </c>
      <c r="D11" s="13" t="s">
        <v>73</v>
      </c>
      <c r="E11" s="13" t="s">
        <v>208</v>
      </c>
      <c r="F11" s="13" t="s">
        <v>74</v>
      </c>
      <c r="G11" s="13" t="s">
        <v>209</v>
      </c>
      <c r="H11" s="13" t="s">
        <v>210</v>
      </c>
      <c r="I11" s="13" t="s">
        <v>211</v>
      </c>
      <c r="J11" s="13" t="s">
        <v>212</v>
      </c>
      <c r="K11" s="13" t="s">
        <v>213</v>
      </c>
    </row>
    <row r="12" spans="2:12" ht="14.25" customHeight="1" x14ac:dyDescent="0.2">
      <c r="B12" s="105" t="s">
        <v>172</v>
      </c>
      <c r="C12" s="105" t="str">
        <f>P_Compound_Name</f>
        <v>Pyrithione</v>
      </c>
      <c r="D12" s="54" t="e">
        <f>'P_Regulatory_ Marinas_Calc'!I21</f>
        <v>#DIV/0!</v>
      </c>
      <c r="E12" s="54" t="e">
        <f>'P_Regulatory_ Marinas_Calc'!J21</f>
        <v>#DIV/0!</v>
      </c>
      <c r="F12" s="54" t="e">
        <f>'P_Regulatory_ Marinas_Calc'!K21</f>
        <v>#DIV/0!</v>
      </c>
      <c r="G12" s="54" t="e">
        <f>'P_Regulatory_ Marinas_Calc'!L21</f>
        <v>#DIV/0!</v>
      </c>
      <c r="H12" s="108" t="e">
        <f>'P_Regulatory_ Marinas_Calc'!Q21</f>
        <v>#DIV/0!</v>
      </c>
      <c r="I12" s="108" t="e">
        <f>'P_Regulatory_ Marinas_Calc'!R21</f>
        <v>#DIV/0!</v>
      </c>
      <c r="J12" s="108" t="e">
        <f>'P_Regulatory_ Marinas_Calc'!S21</f>
        <v>#DIV/0!</v>
      </c>
      <c r="K12" s="108" t="e">
        <f>'P_Regulatory_ Marinas_Calc'!T21</f>
        <v>#DIV/0!</v>
      </c>
    </row>
    <row r="13" spans="2:12" ht="14.25" customHeight="1" x14ac:dyDescent="0.2">
      <c r="B13" s="105" t="s">
        <v>173</v>
      </c>
      <c r="C13" s="105" t="str">
        <f>P_Compound_Name</f>
        <v>Pyrithione</v>
      </c>
      <c r="D13" s="54" t="e">
        <f>'C_Regulatory_ Marinas_Calc'!I22</f>
        <v>#DIV/0!</v>
      </c>
      <c r="E13" s="54" t="e">
        <f>'C_Regulatory_ Marinas_Calc'!J22</f>
        <v>#DIV/0!</v>
      </c>
      <c r="F13" s="54" t="e">
        <f>'C_Regulatory_ Marinas_Calc'!K22</f>
        <v>#DIV/0!</v>
      </c>
      <c r="G13" s="54" t="e">
        <f>'C_Regulatory_ Marinas_Calc'!L22</f>
        <v>#DIV/0!</v>
      </c>
      <c r="H13" s="108" t="e">
        <f>'P_Regulatory_ Marinas_Calc'!Q22</f>
        <v>#DIV/0!</v>
      </c>
      <c r="I13" s="108" t="e">
        <f>'P_Regulatory_ Marinas_Calc'!R22</f>
        <v>#DIV/0!</v>
      </c>
      <c r="J13" s="108" t="e">
        <f>'P_Regulatory_ Marinas_Calc'!S22</f>
        <v>#DIV/0!</v>
      </c>
      <c r="K13" s="108" t="e">
        <f>'P_Regulatory_ Marinas_Calc'!T22</f>
        <v>#DIV/0!</v>
      </c>
    </row>
    <row r="14" spans="2:12" ht="14.25" customHeight="1" x14ac:dyDescent="0.2"/>
    <row r="15" spans="2:12" ht="14.25" customHeight="1" x14ac:dyDescent="0.2"/>
    <row r="16" spans="2:12"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mergeCells count="7">
    <mergeCell ref="B2:L2"/>
    <mergeCell ref="B10:K10"/>
    <mergeCell ref="B4:E4"/>
    <mergeCell ref="B5:D5"/>
    <mergeCell ref="B6:D6"/>
    <mergeCell ref="B7:D7"/>
    <mergeCell ref="B8:D8"/>
  </mergeCells>
  <conditionalFormatting sqref="H12:K13">
    <cfRule type="cellIs" dxfId="2" priority="1" operator="lessThan">
      <formula>1</formula>
    </cfRule>
    <cfRule type="cellIs" dxfId="1" priority="2" operator="greaterThan">
      <formula>1</formula>
    </cfRule>
    <cfRule type="cellIs" dxfId="0" priority="3" operator="equal">
      <formula>1</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2060"/>
  </sheetPr>
  <dimension ref="B2:M39"/>
  <sheetViews>
    <sheetView workbookViewId="0"/>
  </sheetViews>
  <sheetFormatPr defaultRowHeight="12.75" x14ac:dyDescent="0.2"/>
  <cols>
    <col min="1" max="1" width="9" style="3"/>
    <col min="2" max="2" width="41.75" style="3" customWidth="1"/>
    <col min="3" max="3" width="19.875" style="3" customWidth="1"/>
    <col min="4" max="4" width="13.375" style="3" customWidth="1"/>
    <col min="5" max="16384" width="9" style="3"/>
  </cols>
  <sheetData>
    <row r="2" spans="2:13" ht="21" thickBot="1" x14ac:dyDescent="0.35">
      <c r="B2" s="196" t="s">
        <v>103</v>
      </c>
      <c r="C2" s="196"/>
      <c r="D2" s="196"/>
      <c r="E2" s="196"/>
      <c r="F2" s="196"/>
      <c r="G2" s="196"/>
      <c r="H2" s="196"/>
      <c r="I2" s="196"/>
      <c r="J2" s="196"/>
      <c r="K2" s="196"/>
      <c r="L2" s="196"/>
      <c r="M2" s="196"/>
    </row>
    <row r="3" spans="2:13" ht="13.5" thickTop="1" x14ac:dyDescent="0.2">
      <c r="B3" s="148" t="str">
        <f>Tooltype</f>
        <v>Freshwater calculator tool</v>
      </c>
    </row>
    <row r="4" spans="2:13" ht="18" thickBot="1" x14ac:dyDescent="0.35">
      <c r="B4" s="10" t="s">
        <v>0</v>
      </c>
    </row>
    <row r="5" spans="2:13" ht="13.5" thickTop="1" x14ac:dyDescent="0.2"/>
    <row r="6" spans="2:13" x14ac:dyDescent="0.2">
      <c r="B6" s="3" t="s">
        <v>1</v>
      </c>
      <c r="C6" s="57" t="s">
        <v>201</v>
      </c>
    </row>
    <row r="9" spans="2:13" x14ac:dyDescent="0.2">
      <c r="B9" s="47"/>
    </row>
    <row r="12" spans="2:13" x14ac:dyDescent="0.2">
      <c r="D12" s="6"/>
    </row>
    <row r="14" spans="2:13" ht="15" x14ac:dyDescent="0.25">
      <c r="B14" s="7"/>
    </row>
    <row r="16" spans="2:13" x14ac:dyDescent="0.2">
      <c r="D16" s="6"/>
    </row>
    <row r="18" spans="2:2" ht="15" x14ac:dyDescent="0.25">
      <c r="B18" s="7"/>
    </row>
    <row r="19" spans="2:2" ht="15" x14ac:dyDescent="0.25">
      <c r="B19" s="7"/>
    </row>
    <row r="20" spans="2:2" ht="15" x14ac:dyDescent="0.25">
      <c r="B20" s="7"/>
    </row>
    <row r="21" spans="2:2" ht="15" x14ac:dyDescent="0.25">
      <c r="B21" s="7"/>
    </row>
    <row r="27" spans="2:2" ht="15" x14ac:dyDescent="0.25">
      <c r="B27" s="7"/>
    </row>
    <row r="33" spans="2:4" ht="15" x14ac:dyDescent="0.25">
      <c r="B33" s="7"/>
    </row>
    <row r="34" spans="2:4" x14ac:dyDescent="0.2">
      <c r="B34" s="8"/>
    </row>
    <row r="35" spans="2:4" x14ac:dyDescent="0.2">
      <c r="B35" s="8"/>
    </row>
    <row r="36" spans="2:4" x14ac:dyDescent="0.2">
      <c r="B36" s="8"/>
      <c r="D36" s="6"/>
    </row>
    <row r="38" spans="2:4" ht="15" x14ac:dyDescent="0.25">
      <c r="B38" s="7"/>
    </row>
    <row r="39" spans="2:4" ht="15" x14ac:dyDescent="0.25">
      <c r="D39" s="9"/>
    </row>
  </sheetData>
  <mergeCells count="1">
    <mergeCell ref="B2:M2"/>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2:M39"/>
  <sheetViews>
    <sheetView workbookViewId="0"/>
  </sheetViews>
  <sheetFormatPr defaultRowHeight="12.75" x14ac:dyDescent="0.2"/>
  <cols>
    <col min="1" max="1" width="9" style="3"/>
    <col min="2" max="2" width="41.75" style="3" customWidth="1"/>
    <col min="3" max="3" width="19.875" style="3" customWidth="1"/>
    <col min="4" max="4" width="13.375" style="3" customWidth="1"/>
    <col min="5" max="16384" width="9" style="3"/>
  </cols>
  <sheetData>
    <row r="2" spans="2:13" ht="21" thickBot="1" x14ac:dyDescent="0.35">
      <c r="B2" s="196" t="s">
        <v>103</v>
      </c>
      <c r="C2" s="196"/>
      <c r="D2" s="196"/>
      <c r="E2" s="196"/>
      <c r="F2" s="196"/>
      <c r="G2" s="196"/>
      <c r="H2" s="196"/>
      <c r="I2" s="196"/>
      <c r="J2" s="196"/>
      <c r="K2" s="196"/>
      <c r="L2" s="196"/>
      <c r="M2" s="196"/>
    </row>
    <row r="3" spans="2:13" ht="13.5" thickTop="1" x14ac:dyDescent="0.2">
      <c r="B3" s="148" t="str">
        <f>Tooltype</f>
        <v>Freshwater calculator tool</v>
      </c>
    </row>
    <row r="4" spans="2:13" ht="18" thickBot="1" x14ac:dyDescent="0.35">
      <c r="B4" s="10" t="s">
        <v>0</v>
      </c>
    </row>
    <row r="5" spans="2:13" ht="13.5" thickTop="1" x14ac:dyDescent="0.2"/>
    <row r="6" spans="2:13" x14ac:dyDescent="0.2">
      <c r="B6" s="3" t="s">
        <v>1</v>
      </c>
      <c r="C6" s="57" t="s">
        <v>235</v>
      </c>
    </row>
    <row r="9" spans="2:13" x14ac:dyDescent="0.2">
      <c r="B9" s="47"/>
    </row>
    <row r="12" spans="2:13" x14ac:dyDescent="0.2">
      <c r="D12" s="6"/>
    </row>
    <row r="14" spans="2:13" ht="15" x14ac:dyDescent="0.25">
      <c r="B14" s="7"/>
    </row>
    <row r="16" spans="2:13" x14ac:dyDescent="0.2">
      <c r="D16" s="6"/>
    </row>
    <row r="18" spans="2:2" ht="15" x14ac:dyDescent="0.25">
      <c r="B18" s="7"/>
    </row>
    <row r="19" spans="2:2" ht="15" x14ac:dyDescent="0.25">
      <c r="B19" s="7"/>
    </row>
    <row r="20" spans="2:2" ht="15" x14ac:dyDescent="0.25">
      <c r="B20" s="7"/>
    </row>
    <row r="21" spans="2:2" ht="15" x14ac:dyDescent="0.25">
      <c r="B21" s="7"/>
    </row>
    <row r="27" spans="2:2" ht="15" x14ac:dyDescent="0.25">
      <c r="B27" s="7"/>
    </row>
    <row r="33" spans="2:4" ht="15" x14ac:dyDescent="0.25">
      <c r="B33" s="7"/>
    </row>
    <row r="34" spans="2:4" x14ac:dyDescent="0.2">
      <c r="B34" s="8"/>
    </row>
    <row r="35" spans="2:4" x14ac:dyDescent="0.2">
      <c r="B35" s="8"/>
    </row>
    <row r="36" spans="2:4" x14ac:dyDescent="0.2">
      <c r="B36" s="8"/>
      <c r="D36" s="6"/>
    </row>
    <row r="38" spans="2:4" ht="15" x14ac:dyDescent="0.25">
      <c r="B38" s="7"/>
    </row>
    <row r="39" spans="2:4" ht="15" x14ac:dyDescent="0.25">
      <c r="D39" s="9"/>
    </row>
  </sheetData>
  <mergeCells count="1">
    <mergeCell ref="B2:M2"/>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N65"/>
  <sheetViews>
    <sheetView zoomScale="90" zoomScaleNormal="90" workbookViewId="0"/>
  </sheetViews>
  <sheetFormatPr defaultRowHeight="12.75" x14ac:dyDescent="0.2"/>
  <cols>
    <col min="2" max="2" width="22.625" customWidth="1"/>
    <col min="3" max="3" width="3.875" style="91" bestFit="1" customWidth="1"/>
    <col min="4" max="4" width="6.375" style="91" customWidth="1"/>
    <col min="5" max="5" width="25.625" customWidth="1"/>
    <col min="6" max="16" width="15.625" customWidth="1"/>
    <col min="17" max="20" width="10.625" customWidth="1"/>
    <col min="21" max="21" width="14.5" bestFit="1" customWidth="1"/>
    <col min="22" max="22" width="18.375" bestFit="1" customWidth="1"/>
    <col min="23" max="24" width="14.5" bestFit="1" customWidth="1"/>
  </cols>
  <sheetData>
    <row r="1" spans="1:14" x14ac:dyDescent="0.2">
      <c r="A1" s="91"/>
      <c r="B1" s="91"/>
      <c r="E1" s="91"/>
      <c r="F1" s="91"/>
      <c r="G1" s="91"/>
      <c r="H1" s="91"/>
      <c r="I1" s="91"/>
      <c r="J1" s="91"/>
      <c r="K1" s="91"/>
      <c r="L1" s="91"/>
      <c r="M1" s="91"/>
      <c r="N1" s="91"/>
    </row>
    <row r="2" spans="1:14" ht="21" customHeight="1" thickBot="1" x14ac:dyDescent="0.35">
      <c r="A2" s="91"/>
      <c r="B2" s="191" t="s">
        <v>103</v>
      </c>
      <c r="C2" s="191"/>
      <c r="D2" s="191"/>
      <c r="E2" s="191"/>
      <c r="F2" s="191"/>
      <c r="G2" s="191"/>
      <c r="H2" s="191"/>
      <c r="I2" s="191"/>
      <c r="J2" s="191"/>
      <c r="K2" s="191"/>
      <c r="L2" s="191"/>
      <c r="M2" s="191"/>
      <c r="N2" s="191"/>
    </row>
    <row r="3" spans="1:14" ht="14.25" customHeight="1" thickTop="1" x14ac:dyDescent="0.2">
      <c r="A3" s="91"/>
      <c r="B3" s="148" t="str">
        <f>Tooltype</f>
        <v>Freshwater calculator tool</v>
      </c>
      <c r="E3" s="91"/>
      <c r="F3" s="91"/>
      <c r="G3" s="91"/>
      <c r="H3" s="91"/>
      <c r="I3" s="91"/>
      <c r="J3" s="91"/>
      <c r="K3" s="91"/>
      <c r="L3" s="91"/>
      <c r="M3" s="91"/>
      <c r="N3" s="91"/>
    </row>
    <row r="4" spans="1:14" ht="14.25" customHeight="1" x14ac:dyDescent="0.2">
      <c r="A4" s="91"/>
      <c r="B4" s="91"/>
      <c r="E4" s="91"/>
      <c r="F4" s="91"/>
      <c r="G4" s="91"/>
      <c r="H4" s="91"/>
      <c r="I4" s="91"/>
      <c r="J4" s="91"/>
      <c r="K4" s="91"/>
      <c r="L4" s="91"/>
      <c r="M4" s="91"/>
      <c r="N4" s="91"/>
    </row>
    <row r="5" spans="1:14" ht="14.25" customHeight="1" x14ac:dyDescent="0.2">
      <c r="A5" s="91"/>
      <c r="B5" s="193" t="s">
        <v>200</v>
      </c>
      <c r="C5" s="193"/>
      <c r="D5" s="193"/>
      <c r="E5" s="193"/>
      <c r="F5" s="193"/>
      <c r="G5" s="193"/>
      <c r="H5" s="193"/>
      <c r="I5" s="193"/>
      <c r="J5" s="91"/>
      <c r="K5" s="91"/>
      <c r="L5" s="91"/>
      <c r="M5" s="91"/>
      <c r="N5" s="91"/>
    </row>
    <row r="6" spans="1:14" ht="99.95" customHeight="1" x14ac:dyDescent="0.2">
      <c r="A6" s="91"/>
      <c r="B6" s="114" t="s">
        <v>9</v>
      </c>
      <c r="C6" s="93" t="s">
        <v>187</v>
      </c>
      <c r="D6" s="93" t="s">
        <v>186</v>
      </c>
      <c r="E6" s="122" t="s">
        <v>11</v>
      </c>
      <c r="F6" s="13" t="s">
        <v>198</v>
      </c>
      <c r="G6" s="13" t="s">
        <v>199</v>
      </c>
      <c r="H6" s="13" t="s">
        <v>196</v>
      </c>
      <c r="I6" s="13" t="s">
        <v>197</v>
      </c>
      <c r="J6" s="91"/>
      <c r="K6" s="91"/>
      <c r="L6" s="91"/>
      <c r="M6" s="91"/>
      <c r="N6" s="91"/>
    </row>
    <row r="7" spans="1:14" ht="14.25" customHeight="1" x14ac:dyDescent="0.2">
      <c r="A7" s="91"/>
      <c r="B7" s="96" t="s">
        <v>106</v>
      </c>
      <c r="C7" s="117" t="s">
        <v>107</v>
      </c>
      <c r="D7" s="117">
        <v>1</v>
      </c>
      <c r="E7" s="123" t="str">
        <f t="shared" ref="E7:E52" si="0">Substance</f>
        <v>Copper and pyrithione</v>
      </c>
      <c r="F7" s="54" t="e">
        <f>'C_EU Marinas_Scenario_Calc'!S21+'P_EU Marinas_Scenario_Calc'!S21</f>
        <v>#DIV/0!</v>
      </c>
      <c r="G7" s="54" t="e">
        <f>'C_EU Marinas_Scenario_Calc'!T21+'P_EU Marinas_Scenario_Calc'!T21</f>
        <v>#DIV/0!</v>
      </c>
      <c r="H7" s="54" t="e">
        <f>'C_EU Marinas_Scenario_Calc'!U21+'P_EU Marinas_Scenario_Calc'!U21</f>
        <v>#DIV/0!</v>
      </c>
      <c r="I7" s="54" t="e">
        <f>'C_EU Marinas_Scenario_Calc'!V21+'P_EU Marinas_Scenario_Calc'!V21</f>
        <v>#DIV/0!</v>
      </c>
      <c r="J7" s="91"/>
      <c r="K7" s="91"/>
      <c r="L7" s="91"/>
      <c r="M7" s="91"/>
      <c r="N7" s="91"/>
    </row>
    <row r="8" spans="1:14" ht="14.25" customHeight="1" x14ac:dyDescent="0.2">
      <c r="B8" s="96" t="s">
        <v>108</v>
      </c>
      <c r="C8" s="117" t="s">
        <v>107</v>
      </c>
      <c r="D8" s="117">
        <v>2</v>
      </c>
      <c r="E8" s="123" t="str">
        <f t="shared" si="0"/>
        <v>Copper and pyrithione</v>
      </c>
      <c r="F8" s="54" t="e">
        <f>'C_EU Marinas_Scenario_Calc'!S22+'P_EU Marinas_Scenario_Calc'!S22</f>
        <v>#DIV/0!</v>
      </c>
      <c r="G8" s="54" t="e">
        <f>'C_EU Marinas_Scenario_Calc'!T22+'P_EU Marinas_Scenario_Calc'!T22</f>
        <v>#DIV/0!</v>
      </c>
      <c r="H8" s="54" t="e">
        <f>'C_EU Marinas_Scenario_Calc'!U22+'P_EU Marinas_Scenario_Calc'!U22</f>
        <v>#DIV/0!</v>
      </c>
      <c r="I8" s="54" t="e">
        <f>'C_EU Marinas_Scenario_Calc'!V22+'P_EU Marinas_Scenario_Calc'!V22</f>
        <v>#DIV/0!</v>
      </c>
    </row>
    <row r="9" spans="1:14" ht="14.25" customHeight="1" x14ac:dyDescent="0.2">
      <c r="B9" s="96" t="s">
        <v>109</v>
      </c>
      <c r="C9" s="117" t="s">
        <v>107</v>
      </c>
      <c r="D9" s="117">
        <v>3</v>
      </c>
      <c r="E9" s="123" t="str">
        <f t="shared" si="0"/>
        <v>Copper and pyrithione</v>
      </c>
      <c r="F9" s="54" t="e">
        <f>'C_EU Marinas_Scenario_Calc'!S23+'P_EU Marinas_Scenario_Calc'!S23</f>
        <v>#DIV/0!</v>
      </c>
      <c r="G9" s="54" t="e">
        <f>'C_EU Marinas_Scenario_Calc'!T23+'P_EU Marinas_Scenario_Calc'!T23</f>
        <v>#DIV/0!</v>
      </c>
      <c r="H9" s="54" t="e">
        <f>'C_EU Marinas_Scenario_Calc'!U23+'P_EU Marinas_Scenario_Calc'!U23</f>
        <v>#DIV/0!</v>
      </c>
      <c r="I9" s="54" t="e">
        <f>'C_EU Marinas_Scenario_Calc'!V23+'P_EU Marinas_Scenario_Calc'!V23</f>
        <v>#DIV/0!</v>
      </c>
    </row>
    <row r="10" spans="1:14" ht="14.25" customHeight="1" x14ac:dyDescent="0.2">
      <c r="B10" s="96" t="s">
        <v>110</v>
      </c>
      <c r="C10" s="117" t="s">
        <v>107</v>
      </c>
      <c r="D10" s="117">
        <v>4</v>
      </c>
      <c r="E10" s="123" t="str">
        <f t="shared" si="0"/>
        <v>Copper and pyrithione</v>
      </c>
      <c r="F10" s="54" t="e">
        <f>'C_EU Marinas_Scenario_Calc'!S24+'P_EU Marinas_Scenario_Calc'!S24</f>
        <v>#DIV/0!</v>
      </c>
      <c r="G10" s="54" t="e">
        <f>'C_EU Marinas_Scenario_Calc'!T24+'P_EU Marinas_Scenario_Calc'!T24</f>
        <v>#DIV/0!</v>
      </c>
      <c r="H10" s="54" t="e">
        <f>'C_EU Marinas_Scenario_Calc'!U24+'P_EU Marinas_Scenario_Calc'!U24</f>
        <v>#DIV/0!</v>
      </c>
      <c r="I10" s="54" t="e">
        <f>'C_EU Marinas_Scenario_Calc'!V24+'P_EU Marinas_Scenario_Calc'!V24</f>
        <v>#DIV/0!</v>
      </c>
    </row>
    <row r="11" spans="1:14" ht="14.25" customHeight="1" x14ac:dyDescent="0.2">
      <c r="B11" s="96" t="s">
        <v>111</v>
      </c>
      <c r="C11" s="117" t="s">
        <v>107</v>
      </c>
      <c r="D11" s="117">
        <v>5</v>
      </c>
      <c r="E11" s="123" t="str">
        <f t="shared" si="0"/>
        <v>Copper and pyrithione</v>
      </c>
      <c r="F11" s="54" t="e">
        <f>'C_EU Marinas_Scenario_Calc'!S25+'P_EU Marinas_Scenario_Calc'!S25</f>
        <v>#DIV/0!</v>
      </c>
      <c r="G11" s="54" t="e">
        <f>'C_EU Marinas_Scenario_Calc'!T25+'P_EU Marinas_Scenario_Calc'!T25</f>
        <v>#DIV/0!</v>
      </c>
      <c r="H11" s="54" t="e">
        <f>'C_EU Marinas_Scenario_Calc'!U25+'P_EU Marinas_Scenario_Calc'!U25</f>
        <v>#DIV/0!</v>
      </c>
      <c r="I11" s="54" t="e">
        <f>'C_EU Marinas_Scenario_Calc'!V25+'P_EU Marinas_Scenario_Calc'!V25</f>
        <v>#DIV/0!</v>
      </c>
    </row>
    <row r="12" spans="1:14" ht="14.25" customHeight="1" x14ac:dyDescent="0.2">
      <c r="B12" s="96" t="s">
        <v>112</v>
      </c>
      <c r="C12" s="117" t="s">
        <v>107</v>
      </c>
      <c r="D12" s="117">
        <v>6</v>
      </c>
      <c r="E12" s="123" t="str">
        <f t="shared" si="0"/>
        <v>Copper and pyrithione</v>
      </c>
      <c r="F12" s="54" t="e">
        <f>'C_EU Marinas_Scenario_Calc'!S26+'P_EU Marinas_Scenario_Calc'!S26</f>
        <v>#DIV/0!</v>
      </c>
      <c r="G12" s="54" t="e">
        <f>'C_EU Marinas_Scenario_Calc'!T26+'P_EU Marinas_Scenario_Calc'!T26</f>
        <v>#DIV/0!</v>
      </c>
      <c r="H12" s="54" t="e">
        <f>'C_EU Marinas_Scenario_Calc'!U26+'P_EU Marinas_Scenario_Calc'!U26</f>
        <v>#DIV/0!</v>
      </c>
      <c r="I12" s="54" t="e">
        <f>'C_EU Marinas_Scenario_Calc'!V26+'P_EU Marinas_Scenario_Calc'!V26</f>
        <v>#DIV/0!</v>
      </c>
    </row>
    <row r="13" spans="1:14" ht="14.25" customHeight="1" x14ac:dyDescent="0.2">
      <c r="B13" s="96" t="s">
        <v>113</v>
      </c>
      <c r="C13" s="117" t="s">
        <v>107</v>
      </c>
      <c r="D13" s="117">
        <v>7</v>
      </c>
      <c r="E13" s="123" t="str">
        <f t="shared" si="0"/>
        <v>Copper and pyrithione</v>
      </c>
      <c r="F13" s="54" t="e">
        <f>'C_EU Marinas_Scenario_Calc'!S27+'P_EU Marinas_Scenario_Calc'!S27</f>
        <v>#DIV/0!</v>
      </c>
      <c r="G13" s="54" t="e">
        <f>'C_EU Marinas_Scenario_Calc'!T27+'P_EU Marinas_Scenario_Calc'!T27</f>
        <v>#DIV/0!</v>
      </c>
      <c r="H13" s="54" t="e">
        <f>'C_EU Marinas_Scenario_Calc'!U27+'P_EU Marinas_Scenario_Calc'!U27</f>
        <v>#DIV/0!</v>
      </c>
      <c r="I13" s="54" t="e">
        <f>'C_EU Marinas_Scenario_Calc'!V27+'P_EU Marinas_Scenario_Calc'!V27</f>
        <v>#DIV/0!</v>
      </c>
    </row>
    <row r="14" spans="1:14" ht="14.25" customHeight="1" x14ac:dyDescent="0.2">
      <c r="B14" s="96" t="s">
        <v>114</v>
      </c>
      <c r="C14" s="117" t="s">
        <v>115</v>
      </c>
      <c r="D14" s="117">
        <v>2</v>
      </c>
      <c r="E14" s="123" t="str">
        <f t="shared" si="0"/>
        <v>Copper and pyrithione</v>
      </c>
      <c r="F14" s="54" t="e">
        <f>'C_EU Marinas_Scenario_Calc'!S28+'P_EU Marinas_Scenario_Calc'!S28</f>
        <v>#DIV/0!</v>
      </c>
      <c r="G14" s="54" t="e">
        <f>'C_EU Marinas_Scenario_Calc'!T28+'P_EU Marinas_Scenario_Calc'!T28</f>
        <v>#DIV/0!</v>
      </c>
      <c r="H14" s="54" t="e">
        <f>'C_EU Marinas_Scenario_Calc'!U28+'P_EU Marinas_Scenario_Calc'!U28</f>
        <v>#DIV/0!</v>
      </c>
      <c r="I14" s="54" t="e">
        <f>'C_EU Marinas_Scenario_Calc'!V28+'P_EU Marinas_Scenario_Calc'!V28</f>
        <v>#DIV/0!</v>
      </c>
    </row>
    <row r="15" spans="1:14" ht="14.25" customHeight="1" x14ac:dyDescent="0.2">
      <c r="B15" s="96" t="s">
        <v>116</v>
      </c>
      <c r="C15" s="117" t="s">
        <v>115</v>
      </c>
      <c r="D15" s="117">
        <v>3</v>
      </c>
      <c r="E15" s="123" t="str">
        <f t="shared" si="0"/>
        <v>Copper and pyrithione</v>
      </c>
      <c r="F15" s="54" t="e">
        <f>'C_EU Marinas_Scenario_Calc'!S29+'P_EU Marinas_Scenario_Calc'!S29</f>
        <v>#DIV/0!</v>
      </c>
      <c r="G15" s="54" t="e">
        <f>'C_EU Marinas_Scenario_Calc'!T29+'P_EU Marinas_Scenario_Calc'!T29</f>
        <v>#DIV/0!</v>
      </c>
      <c r="H15" s="54" t="e">
        <f>'C_EU Marinas_Scenario_Calc'!U29+'P_EU Marinas_Scenario_Calc'!U29</f>
        <v>#DIV/0!</v>
      </c>
      <c r="I15" s="54" t="e">
        <f>'C_EU Marinas_Scenario_Calc'!V29+'P_EU Marinas_Scenario_Calc'!V29</f>
        <v>#DIV/0!</v>
      </c>
    </row>
    <row r="16" spans="1:14" ht="14.25" customHeight="1" x14ac:dyDescent="0.2">
      <c r="B16" s="96" t="s">
        <v>117</v>
      </c>
      <c r="C16" s="117" t="s">
        <v>115</v>
      </c>
      <c r="D16" s="117">
        <v>5</v>
      </c>
      <c r="E16" s="123" t="str">
        <f t="shared" si="0"/>
        <v>Copper and pyrithione</v>
      </c>
      <c r="F16" s="54" t="e">
        <f>'C_EU Marinas_Scenario_Calc'!S30+'P_EU Marinas_Scenario_Calc'!S30</f>
        <v>#DIV/0!</v>
      </c>
      <c r="G16" s="54" t="e">
        <f>'C_EU Marinas_Scenario_Calc'!T30+'P_EU Marinas_Scenario_Calc'!T30</f>
        <v>#DIV/0!</v>
      </c>
      <c r="H16" s="54" t="e">
        <f>'C_EU Marinas_Scenario_Calc'!U30+'P_EU Marinas_Scenario_Calc'!U30</f>
        <v>#DIV/0!</v>
      </c>
      <c r="I16" s="54" t="e">
        <f>'C_EU Marinas_Scenario_Calc'!V30+'P_EU Marinas_Scenario_Calc'!V30</f>
        <v>#DIV/0!</v>
      </c>
    </row>
    <row r="17" spans="2:9" ht="14.25" customHeight="1" x14ac:dyDescent="0.2">
      <c r="B17" s="96" t="s">
        <v>118</v>
      </c>
      <c r="C17" s="117" t="s">
        <v>115</v>
      </c>
      <c r="D17" s="117">
        <v>6</v>
      </c>
      <c r="E17" s="123" t="str">
        <f t="shared" si="0"/>
        <v>Copper and pyrithione</v>
      </c>
      <c r="F17" s="54" t="e">
        <f>'C_EU Marinas_Scenario_Calc'!S31+'P_EU Marinas_Scenario_Calc'!S31</f>
        <v>#DIV/0!</v>
      </c>
      <c r="G17" s="54" t="e">
        <f>'C_EU Marinas_Scenario_Calc'!T31+'P_EU Marinas_Scenario_Calc'!T31</f>
        <v>#DIV/0!</v>
      </c>
      <c r="H17" s="54" t="e">
        <f>'C_EU Marinas_Scenario_Calc'!U31+'P_EU Marinas_Scenario_Calc'!U31</f>
        <v>#DIV/0!</v>
      </c>
      <c r="I17" s="54" t="e">
        <f>'C_EU Marinas_Scenario_Calc'!V31+'P_EU Marinas_Scenario_Calc'!V31</f>
        <v>#DIV/0!</v>
      </c>
    </row>
    <row r="18" spans="2:9" ht="14.25" x14ac:dyDescent="0.2">
      <c r="B18" s="96" t="s">
        <v>119</v>
      </c>
      <c r="C18" s="117" t="s">
        <v>115</v>
      </c>
      <c r="D18" s="117">
        <v>11</v>
      </c>
      <c r="E18" s="123" t="str">
        <f t="shared" si="0"/>
        <v>Copper and pyrithione</v>
      </c>
      <c r="F18" s="54" t="e">
        <f>'C_EU Marinas_Scenario_Calc'!S32+'P_EU Marinas_Scenario_Calc'!S32</f>
        <v>#DIV/0!</v>
      </c>
      <c r="G18" s="54" t="e">
        <f>'C_EU Marinas_Scenario_Calc'!T32+'P_EU Marinas_Scenario_Calc'!T32</f>
        <v>#DIV/0!</v>
      </c>
      <c r="H18" s="54" t="e">
        <f>'C_EU Marinas_Scenario_Calc'!U32+'P_EU Marinas_Scenario_Calc'!U32</f>
        <v>#DIV/0!</v>
      </c>
      <c r="I18" s="54" t="e">
        <f>'C_EU Marinas_Scenario_Calc'!V32+'P_EU Marinas_Scenario_Calc'!V32</f>
        <v>#DIV/0!</v>
      </c>
    </row>
    <row r="19" spans="2:9" ht="14.25" x14ac:dyDescent="0.2">
      <c r="B19" s="96" t="s">
        <v>120</v>
      </c>
      <c r="C19" s="117" t="s">
        <v>115</v>
      </c>
      <c r="D19" s="117">
        <v>12</v>
      </c>
      <c r="E19" s="123" t="str">
        <f t="shared" si="0"/>
        <v>Copper and pyrithione</v>
      </c>
      <c r="F19" s="54" t="e">
        <f>'C_EU Marinas_Scenario_Calc'!S33+'P_EU Marinas_Scenario_Calc'!S33</f>
        <v>#DIV/0!</v>
      </c>
      <c r="G19" s="54" t="e">
        <f>'C_EU Marinas_Scenario_Calc'!T33+'P_EU Marinas_Scenario_Calc'!T33</f>
        <v>#DIV/0!</v>
      </c>
      <c r="H19" s="54" t="e">
        <f>'C_EU Marinas_Scenario_Calc'!U33+'P_EU Marinas_Scenario_Calc'!U33</f>
        <v>#DIV/0!</v>
      </c>
      <c r="I19" s="54" t="e">
        <f>'C_EU Marinas_Scenario_Calc'!V33+'P_EU Marinas_Scenario_Calc'!V33</f>
        <v>#DIV/0!</v>
      </c>
    </row>
    <row r="20" spans="2:9" ht="14.25" customHeight="1" x14ac:dyDescent="0.2">
      <c r="B20" s="96" t="s">
        <v>121</v>
      </c>
      <c r="C20" s="117" t="s">
        <v>12</v>
      </c>
      <c r="D20" s="117" t="s">
        <v>122</v>
      </c>
      <c r="E20" s="123" t="str">
        <f t="shared" si="0"/>
        <v>Copper and pyrithione</v>
      </c>
      <c r="F20" s="54" t="e">
        <f>'C_EU Marinas_Scenario_Calc'!S34+'P_EU Marinas_Scenario_Calc'!S34</f>
        <v>#DIV/0!</v>
      </c>
      <c r="G20" s="54" t="e">
        <f>'C_EU Marinas_Scenario_Calc'!T34+'P_EU Marinas_Scenario_Calc'!T34</f>
        <v>#DIV/0!</v>
      </c>
      <c r="H20" s="54" t="e">
        <f>'C_EU Marinas_Scenario_Calc'!U34+'P_EU Marinas_Scenario_Calc'!U34</f>
        <v>#DIV/0!</v>
      </c>
      <c r="I20" s="54" t="e">
        <f>'C_EU Marinas_Scenario_Calc'!V34+'P_EU Marinas_Scenario_Calc'!V34</f>
        <v>#DIV/0!</v>
      </c>
    </row>
    <row r="21" spans="2:9" ht="14.25" customHeight="1" x14ac:dyDescent="0.2">
      <c r="B21" s="96" t="s">
        <v>123</v>
      </c>
      <c r="C21" s="117" t="s">
        <v>12</v>
      </c>
      <c r="D21" s="117" t="s">
        <v>124</v>
      </c>
      <c r="E21" s="123" t="str">
        <f t="shared" si="0"/>
        <v>Copper and pyrithione</v>
      </c>
      <c r="F21" s="54" t="e">
        <f>'C_EU Marinas_Scenario_Calc'!S35+'P_EU Marinas_Scenario_Calc'!S35</f>
        <v>#DIV/0!</v>
      </c>
      <c r="G21" s="54" t="e">
        <f>'C_EU Marinas_Scenario_Calc'!T35+'P_EU Marinas_Scenario_Calc'!T35</f>
        <v>#DIV/0!</v>
      </c>
      <c r="H21" s="54" t="e">
        <f>'C_EU Marinas_Scenario_Calc'!U35+'P_EU Marinas_Scenario_Calc'!U35</f>
        <v>#DIV/0!</v>
      </c>
      <c r="I21" s="54" t="e">
        <f>'C_EU Marinas_Scenario_Calc'!V35+'P_EU Marinas_Scenario_Calc'!V35</f>
        <v>#DIV/0!</v>
      </c>
    </row>
    <row r="22" spans="2:9" ht="14.25" customHeight="1" x14ac:dyDescent="0.2">
      <c r="B22" s="96" t="s">
        <v>125</v>
      </c>
      <c r="C22" s="117" t="s">
        <v>12</v>
      </c>
      <c r="D22" s="117" t="s">
        <v>126</v>
      </c>
      <c r="E22" s="123" t="str">
        <f t="shared" si="0"/>
        <v>Copper and pyrithione</v>
      </c>
      <c r="F22" s="54" t="e">
        <f>'C_EU Marinas_Scenario_Calc'!S36+'P_EU Marinas_Scenario_Calc'!S36</f>
        <v>#DIV/0!</v>
      </c>
      <c r="G22" s="54" t="e">
        <f>'C_EU Marinas_Scenario_Calc'!T36+'P_EU Marinas_Scenario_Calc'!T36</f>
        <v>#DIV/0!</v>
      </c>
      <c r="H22" s="54" t="e">
        <f>'C_EU Marinas_Scenario_Calc'!U36+'P_EU Marinas_Scenario_Calc'!U36</f>
        <v>#DIV/0!</v>
      </c>
      <c r="I22" s="54" t="e">
        <f>'C_EU Marinas_Scenario_Calc'!V36+'P_EU Marinas_Scenario_Calc'!V36</f>
        <v>#DIV/0!</v>
      </c>
    </row>
    <row r="23" spans="2:9" ht="14.25" customHeight="1" x14ac:dyDescent="0.2">
      <c r="B23" s="96" t="s">
        <v>127</v>
      </c>
      <c r="C23" s="117" t="s">
        <v>12</v>
      </c>
      <c r="D23" s="117" t="s">
        <v>128</v>
      </c>
      <c r="E23" s="123" t="str">
        <f t="shared" si="0"/>
        <v>Copper and pyrithione</v>
      </c>
      <c r="F23" s="54" t="e">
        <f>'C_EU Marinas_Scenario_Calc'!S37+'P_EU Marinas_Scenario_Calc'!S37</f>
        <v>#DIV/0!</v>
      </c>
      <c r="G23" s="54" t="e">
        <f>'C_EU Marinas_Scenario_Calc'!T37+'P_EU Marinas_Scenario_Calc'!T37</f>
        <v>#DIV/0!</v>
      </c>
      <c r="H23" s="54" t="e">
        <f>'C_EU Marinas_Scenario_Calc'!U37+'P_EU Marinas_Scenario_Calc'!U37</f>
        <v>#DIV/0!</v>
      </c>
      <c r="I23" s="54" t="e">
        <f>'C_EU Marinas_Scenario_Calc'!V37+'P_EU Marinas_Scenario_Calc'!V37</f>
        <v>#DIV/0!</v>
      </c>
    </row>
    <row r="24" spans="2:9" ht="14.25" customHeight="1" x14ac:dyDescent="0.2">
      <c r="B24" s="96" t="s">
        <v>129</v>
      </c>
      <c r="C24" s="117" t="s">
        <v>12</v>
      </c>
      <c r="D24" s="117" t="s">
        <v>130</v>
      </c>
      <c r="E24" s="123" t="str">
        <f t="shared" si="0"/>
        <v>Copper and pyrithione</v>
      </c>
      <c r="F24" s="54" t="e">
        <f>'C_EU Marinas_Scenario_Calc'!S38+'P_EU Marinas_Scenario_Calc'!S38</f>
        <v>#DIV/0!</v>
      </c>
      <c r="G24" s="54" t="e">
        <f>'C_EU Marinas_Scenario_Calc'!T38+'P_EU Marinas_Scenario_Calc'!T38</f>
        <v>#DIV/0!</v>
      </c>
      <c r="H24" s="54" t="e">
        <f>'C_EU Marinas_Scenario_Calc'!U38+'P_EU Marinas_Scenario_Calc'!U38</f>
        <v>#DIV/0!</v>
      </c>
      <c r="I24" s="54" t="e">
        <f>'C_EU Marinas_Scenario_Calc'!V38+'P_EU Marinas_Scenario_Calc'!V38</f>
        <v>#DIV/0!</v>
      </c>
    </row>
    <row r="25" spans="2:9" ht="14.25" customHeight="1" x14ac:dyDescent="0.2">
      <c r="B25" s="96" t="s">
        <v>131</v>
      </c>
      <c r="C25" s="117" t="s">
        <v>12</v>
      </c>
      <c r="D25" s="117" t="s">
        <v>132</v>
      </c>
      <c r="E25" s="123" t="str">
        <f t="shared" si="0"/>
        <v>Copper and pyrithione</v>
      </c>
      <c r="F25" s="54" t="e">
        <f>'C_EU Marinas_Scenario_Calc'!S39+'P_EU Marinas_Scenario_Calc'!S39</f>
        <v>#DIV/0!</v>
      </c>
      <c r="G25" s="54" t="e">
        <f>'C_EU Marinas_Scenario_Calc'!T39+'P_EU Marinas_Scenario_Calc'!T39</f>
        <v>#DIV/0!</v>
      </c>
      <c r="H25" s="54" t="e">
        <f>'C_EU Marinas_Scenario_Calc'!U39+'P_EU Marinas_Scenario_Calc'!U39</f>
        <v>#DIV/0!</v>
      </c>
      <c r="I25" s="54" t="e">
        <f>'C_EU Marinas_Scenario_Calc'!V39+'P_EU Marinas_Scenario_Calc'!V39</f>
        <v>#DIV/0!</v>
      </c>
    </row>
    <row r="26" spans="2:9" ht="14.25" customHeight="1" x14ac:dyDescent="0.2">
      <c r="B26" s="96" t="s">
        <v>133</v>
      </c>
      <c r="C26" s="117" t="s">
        <v>12</v>
      </c>
      <c r="D26" s="117" t="s">
        <v>134</v>
      </c>
      <c r="E26" s="123" t="str">
        <f t="shared" si="0"/>
        <v>Copper and pyrithione</v>
      </c>
      <c r="F26" s="54" t="e">
        <f>'C_EU Marinas_Scenario_Calc'!S40+'P_EU Marinas_Scenario_Calc'!S40</f>
        <v>#DIV/0!</v>
      </c>
      <c r="G26" s="54" t="e">
        <f>'C_EU Marinas_Scenario_Calc'!T40+'P_EU Marinas_Scenario_Calc'!T40</f>
        <v>#DIV/0!</v>
      </c>
      <c r="H26" s="54" t="e">
        <f>'C_EU Marinas_Scenario_Calc'!U40+'P_EU Marinas_Scenario_Calc'!U40</f>
        <v>#DIV/0!</v>
      </c>
      <c r="I26" s="54" t="e">
        <f>'C_EU Marinas_Scenario_Calc'!V40+'P_EU Marinas_Scenario_Calc'!V40</f>
        <v>#DIV/0!</v>
      </c>
    </row>
    <row r="27" spans="2:9" ht="14.25" customHeight="1" x14ac:dyDescent="0.2">
      <c r="B27" s="96" t="s">
        <v>135</v>
      </c>
      <c r="C27" s="117" t="s">
        <v>12</v>
      </c>
      <c r="D27" s="117" t="s">
        <v>136</v>
      </c>
      <c r="E27" s="123" t="str">
        <f t="shared" si="0"/>
        <v>Copper and pyrithione</v>
      </c>
      <c r="F27" s="54" t="e">
        <f>'C_EU Marinas_Scenario_Calc'!S41+'P_EU Marinas_Scenario_Calc'!S41</f>
        <v>#DIV/0!</v>
      </c>
      <c r="G27" s="54" t="e">
        <f>'C_EU Marinas_Scenario_Calc'!T41+'P_EU Marinas_Scenario_Calc'!T41</f>
        <v>#DIV/0!</v>
      </c>
      <c r="H27" s="54" t="e">
        <f>'C_EU Marinas_Scenario_Calc'!U41+'P_EU Marinas_Scenario_Calc'!U41</f>
        <v>#DIV/0!</v>
      </c>
      <c r="I27" s="54" t="e">
        <f>'C_EU Marinas_Scenario_Calc'!V41+'P_EU Marinas_Scenario_Calc'!V41</f>
        <v>#DIV/0!</v>
      </c>
    </row>
    <row r="28" spans="2:9" ht="14.25" customHeight="1" x14ac:dyDescent="0.2">
      <c r="B28" s="96" t="s">
        <v>137</v>
      </c>
      <c r="C28" s="117" t="s">
        <v>12</v>
      </c>
      <c r="D28" s="117" t="s">
        <v>138</v>
      </c>
      <c r="E28" s="123" t="str">
        <f t="shared" si="0"/>
        <v>Copper and pyrithione</v>
      </c>
      <c r="F28" s="54" t="e">
        <f>'C_EU Marinas_Scenario_Calc'!S42+'P_EU Marinas_Scenario_Calc'!S42</f>
        <v>#DIV/0!</v>
      </c>
      <c r="G28" s="54" t="e">
        <f>'C_EU Marinas_Scenario_Calc'!T42+'P_EU Marinas_Scenario_Calc'!T42</f>
        <v>#DIV/0!</v>
      </c>
      <c r="H28" s="54" t="e">
        <f>'C_EU Marinas_Scenario_Calc'!U42+'P_EU Marinas_Scenario_Calc'!U42</f>
        <v>#DIV/0!</v>
      </c>
      <c r="I28" s="54" t="e">
        <f>'C_EU Marinas_Scenario_Calc'!V42+'P_EU Marinas_Scenario_Calc'!V42</f>
        <v>#DIV/0!</v>
      </c>
    </row>
    <row r="29" spans="2:9" ht="14.25" customHeight="1" x14ac:dyDescent="0.2">
      <c r="B29" s="96" t="s">
        <v>139</v>
      </c>
      <c r="C29" s="117" t="s">
        <v>12</v>
      </c>
      <c r="D29" s="117" t="s">
        <v>140</v>
      </c>
      <c r="E29" s="123" t="str">
        <f t="shared" si="0"/>
        <v>Copper and pyrithione</v>
      </c>
      <c r="F29" s="54" t="e">
        <f>'C_EU Marinas_Scenario_Calc'!S43+'P_EU Marinas_Scenario_Calc'!S43</f>
        <v>#DIV/0!</v>
      </c>
      <c r="G29" s="54" t="e">
        <f>'C_EU Marinas_Scenario_Calc'!T43+'P_EU Marinas_Scenario_Calc'!T43</f>
        <v>#DIV/0!</v>
      </c>
      <c r="H29" s="54" t="e">
        <f>'C_EU Marinas_Scenario_Calc'!U43+'P_EU Marinas_Scenario_Calc'!U43</f>
        <v>#DIV/0!</v>
      </c>
      <c r="I29" s="54" t="e">
        <f>'C_EU Marinas_Scenario_Calc'!V43+'P_EU Marinas_Scenario_Calc'!V43</f>
        <v>#DIV/0!</v>
      </c>
    </row>
    <row r="30" spans="2:9" ht="14.25" customHeight="1" x14ac:dyDescent="0.2">
      <c r="B30" s="96" t="s">
        <v>141</v>
      </c>
      <c r="C30" s="117" t="s">
        <v>13</v>
      </c>
      <c r="D30" s="117">
        <v>1</v>
      </c>
      <c r="E30" s="123" t="str">
        <f t="shared" si="0"/>
        <v>Copper and pyrithione</v>
      </c>
      <c r="F30" s="54" t="e">
        <f>'C_EU Marinas_Scenario_Calc'!S44+'P_EU Marinas_Scenario_Calc'!S44</f>
        <v>#DIV/0!</v>
      </c>
      <c r="G30" s="54" t="e">
        <f>'C_EU Marinas_Scenario_Calc'!T44+'P_EU Marinas_Scenario_Calc'!T44</f>
        <v>#DIV/0!</v>
      </c>
      <c r="H30" s="54" t="e">
        <f>'C_EU Marinas_Scenario_Calc'!U44+'P_EU Marinas_Scenario_Calc'!U44</f>
        <v>#DIV/0!</v>
      </c>
      <c r="I30" s="54" t="e">
        <f>'C_EU Marinas_Scenario_Calc'!V44+'P_EU Marinas_Scenario_Calc'!V44</f>
        <v>#DIV/0!</v>
      </c>
    </row>
    <row r="31" spans="2:9" ht="14.25" customHeight="1" x14ac:dyDescent="0.2">
      <c r="B31" s="96" t="s">
        <v>142</v>
      </c>
      <c r="C31" s="117" t="s">
        <v>13</v>
      </c>
      <c r="D31" s="117">
        <v>3</v>
      </c>
      <c r="E31" s="123" t="str">
        <f t="shared" si="0"/>
        <v>Copper and pyrithione</v>
      </c>
      <c r="F31" s="54" t="e">
        <f>'C_EU Marinas_Scenario_Calc'!S45+'P_EU Marinas_Scenario_Calc'!S45</f>
        <v>#DIV/0!</v>
      </c>
      <c r="G31" s="54" t="e">
        <f>'C_EU Marinas_Scenario_Calc'!T45+'P_EU Marinas_Scenario_Calc'!T45</f>
        <v>#DIV/0!</v>
      </c>
      <c r="H31" s="54" t="e">
        <f>'C_EU Marinas_Scenario_Calc'!U45+'P_EU Marinas_Scenario_Calc'!U45</f>
        <v>#DIV/0!</v>
      </c>
      <c r="I31" s="54" t="e">
        <f>'C_EU Marinas_Scenario_Calc'!V45+'P_EU Marinas_Scenario_Calc'!V45</f>
        <v>#DIV/0!</v>
      </c>
    </row>
    <row r="32" spans="2:9" ht="14.25" customHeight="1" x14ac:dyDescent="0.2">
      <c r="B32" s="96" t="s">
        <v>143</v>
      </c>
      <c r="C32" s="117" t="s">
        <v>13</v>
      </c>
      <c r="D32" s="117">
        <v>4</v>
      </c>
      <c r="E32" s="123" t="str">
        <f t="shared" si="0"/>
        <v>Copper and pyrithione</v>
      </c>
      <c r="F32" s="54" t="e">
        <f>'C_EU Marinas_Scenario_Calc'!S46+'P_EU Marinas_Scenario_Calc'!S46</f>
        <v>#DIV/0!</v>
      </c>
      <c r="G32" s="54" t="e">
        <f>'C_EU Marinas_Scenario_Calc'!T46+'P_EU Marinas_Scenario_Calc'!T46</f>
        <v>#DIV/0!</v>
      </c>
      <c r="H32" s="54" t="e">
        <f>'C_EU Marinas_Scenario_Calc'!U46+'P_EU Marinas_Scenario_Calc'!U46</f>
        <v>#DIV/0!</v>
      </c>
      <c r="I32" s="54" t="e">
        <f>'C_EU Marinas_Scenario_Calc'!V46+'P_EU Marinas_Scenario_Calc'!V46</f>
        <v>#DIV/0!</v>
      </c>
    </row>
    <row r="33" spans="2:9" ht="14.25" customHeight="1" x14ac:dyDescent="0.2">
      <c r="B33" s="96" t="s">
        <v>144</v>
      </c>
      <c r="C33" s="117" t="s">
        <v>13</v>
      </c>
      <c r="D33" s="117">
        <v>6</v>
      </c>
      <c r="E33" s="123" t="str">
        <f t="shared" si="0"/>
        <v>Copper and pyrithione</v>
      </c>
      <c r="F33" s="54" t="e">
        <f>'C_EU Marinas_Scenario_Calc'!S47+'P_EU Marinas_Scenario_Calc'!S47</f>
        <v>#DIV/0!</v>
      </c>
      <c r="G33" s="54" t="e">
        <f>'C_EU Marinas_Scenario_Calc'!T47+'P_EU Marinas_Scenario_Calc'!T47</f>
        <v>#DIV/0!</v>
      </c>
      <c r="H33" s="54" t="e">
        <f>'C_EU Marinas_Scenario_Calc'!U47+'P_EU Marinas_Scenario_Calc'!U47</f>
        <v>#DIV/0!</v>
      </c>
      <c r="I33" s="54" t="e">
        <f>'C_EU Marinas_Scenario_Calc'!V47+'P_EU Marinas_Scenario_Calc'!V47</f>
        <v>#DIV/0!</v>
      </c>
    </row>
    <row r="34" spans="2:9" ht="14.25" customHeight="1" x14ac:dyDescent="0.2">
      <c r="B34" s="96" t="s">
        <v>145</v>
      </c>
      <c r="C34" s="117" t="s">
        <v>13</v>
      </c>
      <c r="D34" s="117">
        <v>7</v>
      </c>
      <c r="E34" s="123" t="str">
        <f t="shared" si="0"/>
        <v>Copper and pyrithione</v>
      </c>
      <c r="F34" s="54" t="e">
        <f>'C_EU Marinas_Scenario_Calc'!S48+'P_EU Marinas_Scenario_Calc'!S48</f>
        <v>#DIV/0!</v>
      </c>
      <c r="G34" s="54" t="e">
        <f>'C_EU Marinas_Scenario_Calc'!T48+'P_EU Marinas_Scenario_Calc'!T48</f>
        <v>#DIV/0!</v>
      </c>
      <c r="H34" s="54" t="e">
        <f>'C_EU Marinas_Scenario_Calc'!U48+'P_EU Marinas_Scenario_Calc'!U48</f>
        <v>#DIV/0!</v>
      </c>
      <c r="I34" s="54" t="e">
        <f>'C_EU Marinas_Scenario_Calc'!V48+'P_EU Marinas_Scenario_Calc'!V48</f>
        <v>#DIV/0!</v>
      </c>
    </row>
    <row r="35" spans="2:9" ht="14.25" customHeight="1" x14ac:dyDescent="0.2">
      <c r="B35" s="96" t="s">
        <v>146</v>
      </c>
      <c r="C35" s="117" t="s">
        <v>13</v>
      </c>
      <c r="D35" s="117">
        <v>8</v>
      </c>
      <c r="E35" s="123" t="str">
        <f t="shared" si="0"/>
        <v>Copper and pyrithione</v>
      </c>
      <c r="F35" s="54" t="e">
        <f>'C_EU Marinas_Scenario_Calc'!S49+'P_EU Marinas_Scenario_Calc'!S49</f>
        <v>#DIV/0!</v>
      </c>
      <c r="G35" s="54" t="e">
        <f>'C_EU Marinas_Scenario_Calc'!T49+'P_EU Marinas_Scenario_Calc'!T49</f>
        <v>#DIV/0!</v>
      </c>
      <c r="H35" s="54" t="e">
        <f>'C_EU Marinas_Scenario_Calc'!U49+'P_EU Marinas_Scenario_Calc'!U49</f>
        <v>#DIV/0!</v>
      </c>
      <c r="I35" s="54" t="e">
        <f>'C_EU Marinas_Scenario_Calc'!V49+'P_EU Marinas_Scenario_Calc'!V49</f>
        <v>#DIV/0!</v>
      </c>
    </row>
    <row r="36" spans="2:9" ht="14.25" customHeight="1" x14ac:dyDescent="0.2">
      <c r="B36" s="96" t="s">
        <v>147</v>
      </c>
      <c r="C36" s="117" t="s">
        <v>13</v>
      </c>
      <c r="D36" s="117">
        <v>14</v>
      </c>
      <c r="E36" s="123" t="str">
        <f t="shared" si="0"/>
        <v>Copper and pyrithione</v>
      </c>
      <c r="F36" s="54" t="e">
        <f>'C_EU Marinas_Scenario_Calc'!S50+'P_EU Marinas_Scenario_Calc'!S50</f>
        <v>#DIV/0!</v>
      </c>
      <c r="G36" s="54" t="e">
        <f>'C_EU Marinas_Scenario_Calc'!T50+'P_EU Marinas_Scenario_Calc'!T50</f>
        <v>#DIV/0!</v>
      </c>
      <c r="H36" s="54" t="e">
        <f>'C_EU Marinas_Scenario_Calc'!U50+'P_EU Marinas_Scenario_Calc'!U50</f>
        <v>#DIV/0!</v>
      </c>
      <c r="I36" s="54" t="e">
        <f>'C_EU Marinas_Scenario_Calc'!V50+'P_EU Marinas_Scenario_Calc'!V50</f>
        <v>#DIV/0!</v>
      </c>
    </row>
    <row r="37" spans="2:9" ht="14.25" customHeight="1" x14ac:dyDescent="0.2">
      <c r="B37" s="96" t="s">
        <v>148</v>
      </c>
      <c r="C37" s="117" t="s">
        <v>13</v>
      </c>
      <c r="D37" s="117">
        <v>17</v>
      </c>
      <c r="E37" s="123" t="str">
        <f t="shared" si="0"/>
        <v>Copper and pyrithione</v>
      </c>
      <c r="F37" s="54" t="e">
        <f>'C_EU Marinas_Scenario_Calc'!S51+'P_EU Marinas_Scenario_Calc'!S51</f>
        <v>#DIV/0!</v>
      </c>
      <c r="G37" s="54" t="e">
        <f>'C_EU Marinas_Scenario_Calc'!T51+'P_EU Marinas_Scenario_Calc'!T51</f>
        <v>#DIV/0!</v>
      </c>
      <c r="H37" s="54" t="e">
        <f>'C_EU Marinas_Scenario_Calc'!U51+'P_EU Marinas_Scenario_Calc'!U51</f>
        <v>#DIV/0!</v>
      </c>
      <c r="I37" s="54" t="e">
        <f>'C_EU Marinas_Scenario_Calc'!V51+'P_EU Marinas_Scenario_Calc'!V51</f>
        <v>#DIV/0!</v>
      </c>
    </row>
    <row r="38" spans="2:9" ht="14.25" customHeight="1" x14ac:dyDescent="0.2">
      <c r="B38" s="96" t="s">
        <v>149</v>
      </c>
      <c r="C38" s="117" t="s">
        <v>13</v>
      </c>
      <c r="D38" s="117">
        <v>21</v>
      </c>
      <c r="E38" s="123" t="str">
        <f t="shared" si="0"/>
        <v>Copper and pyrithione</v>
      </c>
      <c r="F38" s="54" t="e">
        <f>'C_EU Marinas_Scenario_Calc'!S52+'P_EU Marinas_Scenario_Calc'!S52</f>
        <v>#DIV/0!</v>
      </c>
      <c r="G38" s="54" t="e">
        <f>'C_EU Marinas_Scenario_Calc'!T52+'P_EU Marinas_Scenario_Calc'!T52</f>
        <v>#DIV/0!</v>
      </c>
      <c r="H38" s="54" t="e">
        <f>'C_EU Marinas_Scenario_Calc'!U52+'P_EU Marinas_Scenario_Calc'!U52</f>
        <v>#DIV/0!</v>
      </c>
      <c r="I38" s="54" t="e">
        <f>'C_EU Marinas_Scenario_Calc'!V52+'P_EU Marinas_Scenario_Calc'!V52</f>
        <v>#DIV/0!</v>
      </c>
    </row>
    <row r="39" spans="2:9" ht="14.25" customHeight="1" x14ac:dyDescent="0.2">
      <c r="B39" s="96" t="s">
        <v>150</v>
      </c>
      <c r="C39" s="117" t="s">
        <v>13</v>
      </c>
      <c r="D39" s="117">
        <v>26</v>
      </c>
      <c r="E39" s="123" t="str">
        <f t="shared" si="0"/>
        <v>Copper and pyrithione</v>
      </c>
      <c r="F39" s="54" t="e">
        <f>'C_EU Marinas_Scenario_Calc'!S53+'P_EU Marinas_Scenario_Calc'!S53</f>
        <v>#DIV/0!</v>
      </c>
      <c r="G39" s="54" t="e">
        <f>'C_EU Marinas_Scenario_Calc'!T53+'P_EU Marinas_Scenario_Calc'!T53</f>
        <v>#DIV/0!</v>
      </c>
      <c r="H39" s="54" t="e">
        <f>'C_EU Marinas_Scenario_Calc'!U53+'P_EU Marinas_Scenario_Calc'!U53</f>
        <v>#DIV/0!</v>
      </c>
      <c r="I39" s="54" t="e">
        <f>'C_EU Marinas_Scenario_Calc'!V53+'P_EU Marinas_Scenario_Calc'!V53</f>
        <v>#DIV/0!</v>
      </c>
    </row>
    <row r="40" spans="2:9" ht="14.25" customHeight="1" x14ac:dyDescent="0.2">
      <c r="B40" s="96" t="s">
        <v>151</v>
      </c>
      <c r="C40" s="117" t="s">
        <v>13</v>
      </c>
      <c r="D40" s="117">
        <v>30</v>
      </c>
      <c r="E40" s="123" t="str">
        <f t="shared" si="0"/>
        <v>Copper and pyrithione</v>
      </c>
      <c r="F40" s="54" t="e">
        <f>'C_EU Marinas_Scenario_Calc'!S54+'P_EU Marinas_Scenario_Calc'!S54</f>
        <v>#DIV/0!</v>
      </c>
      <c r="G40" s="54" t="e">
        <f>'C_EU Marinas_Scenario_Calc'!T54+'P_EU Marinas_Scenario_Calc'!T54</f>
        <v>#DIV/0!</v>
      </c>
      <c r="H40" s="54" t="e">
        <f>'C_EU Marinas_Scenario_Calc'!U54+'P_EU Marinas_Scenario_Calc'!U54</f>
        <v>#DIV/0!</v>
      </c>
      <c r="I40" s="54" t="e">
        <f>'C_EU Marinas_Scenario_Calc'!V54+'P_EU Marinas_Scenario_Calc'!V54</f>
        <v>#DIV/0!</v>
      </c>
    </row>
    <row r="41" spans="2:9" ht="14.25" customHeight="1" x14ac:dyDescent="0.2">
      <c r="B41" s="96" t="s">
        <v>152</v>
      </c>
      <c r="C41" s="117" t="s">
        <v>13</v>
      </c>
      <c r="D41" s="117">
        <v>34</v>
      </c>
      <c r="E41" s="123" t="str">
        <f t="shared" si="0"/>
        <v>Copper and pyrithione</v>
      </c>
      <c r="F41" s="54" t="e">
        <f>'C_EU Marinas_Scenario_Calc'!S55+'P_EU Marinas_Scenario_Calc'!S55</f>
        <v>#DIV/0!</v>
      </c>
      <c r="G41" s="54" t="e">
        <f>'C_EU Marinas_Scenario_Calc'!T55+'P_EU Marinas_Scenario_Calc'!T55</f>
        <v>#DIV/0!</v>
      </c>
      <c r="H41" s="54" t="e">
        <f>'C_EU Marinas_Scenario_Calc'!U55+'P_EU Marinas_Scenario_Calc'!U55</f>
        <v>#DIV/0!</v>
      </c>
      <c r="I41" s="54" t="e">
        <f>'C_EU Marinas_Scenario_Calc'!V55+'P_EU Marinas_Scenario_Calc'!V55</f>
        <v>#DIV/0!</v>
      </c>
    </row>
    <row r="42" spans="2:9" ht="14.25" customHeight="1" x14ac:dyDescent="0.2">
      <c r="B42" s="96" t="s">
        <v>153</v>
      </c>
      <c r="C42" s="117" t="s">
        <v>13</v>
      </c>
      <c r="D42" s="117">
        <v>40</v>
      </c>
      <c r="E42" s="123" t="str">
        <f t="shared" si="0"/>
        <v>Copper and pyrithione</v>
      </c>
      <c r="F42" s="54" t="e">
        <f>'C_EU Marinas_Scenario_Calc'!S56+'P_EU Marinas_Scenario_Calc'!S56</f>
        <v>#DIV/0!</v>
      </c>
      <c r="G42" s="54" t="e">
        <f>'C_EU Marinas_Scenario_Calc'!T56+'P_EU Marinas_Scenario_Calc'!T56</f>
        <v>#DIV/0!</v>
      </c>
      <c r="H42" s="54" t="e">
        <f>'C_EU Marinas_Scenario_Calc'!U56+'P_EU Marinas_Scenario_Calc'!U56</f>
        <v>#DIV/0!</v>
      </c>
      <c r="I42" s="54" t="e">
        <f>'C_EU Marinas_Scenario_Calc'!V56+'P_EU Marinas_Scenario_Calc'!V56</f>
        <v>#DIV/0!</v>
      </c>
    </row>
    <row r="43" spans="2:9" ht="14.25" customHeight="1" x14ac:dyDescent="0.2">
      <c r="B43" s="96" t="s">
        <v>154</v>
      </c>
      <c r="C43" s="117" t="s">
        <v>13</v>
      </c>
      <c r="D43" s="117">
        <v>42</v>
      </c>
      <c r="E43" s="123" t="str">
        <f t="shared" si="0"/>
        <v>Copper and pyrithione</v>
      </c>
      <c r="F43" s="54" t="e">
        <f>'C_EU Marinas_Scenario_Calc'!S57+'P_EU Marinas_Scenario_Calc'!S57</f>
        <v>#DIV/0!</v>
      </c>
      <c r="G43" s="54" t="e">
        <f>'C_EU Marinas_Scenario_Calc'!T57+'P_EU Marinas_Scenario_Calc'!T57</f>
        <v>#DIV/0!</v>
      </c>
      <c r="H43" s="54" t="e">
        <f>'C_EU Marinas_Scenario_Calc'!U57+'P_EU Marinas_Scenario_Calc'!U57</f>
        <v>#DIV/0!</v>
      </c>
      <c r="I43" s="54" t="e">
        <f>'C_EU Marinas_Scenario_Calc'!V57+'P_EU Marinas_Scenario_Calc'!V57</f>
        <v>#DIV/0!</v>
      </c>
    </row>
    <row r="44" spans="2:9" ht="14.25" customHeight="1" x14ac:dyDescent="0.2">
      <c r="B44" s="96" t="s">
        <v>155</v>
      </c>
      <c r="C44" s="117" t="s">
        <v>13</v>
      </c>
      <c r="D44" s="117">
        <v>44</v>
      </c>
      <c r="E44" s="123" t="str">
        <f t="shared" si="0"/>
        <v>Copper and pyrithione</v>
      </c>
      <c r="F44" s="54" t="e">
        <f>'C_EU Marinas_Scenario_Calc'!S58+'P_EU Marinas_Scenario_Calc'!S58</f>
        <v>#DIV/0!</v>
      </c>
      <c r="G44" s="54" t="e">
        <f>'C_EU Marinas_Scenario_Calc'!T58+'P_EU Marinas_Scenario_Calc'!T58</f>
        <v>#DIV/0!</v>
      </c>
      <c r="H44" s="54" t="e">
        <f>'C_EU Marinas_Scenario_Calc'!U58+'P_EU Marinas_Scenario_Calc'!U58</f>
        <v>#DIV/0!</v>
      </c>
      <c r="I44" s="54" t="e">
        <f>'C_EU Marinas_Scenario_Calc'!V58+'P_EU Marinas_Scenario_Calc'!V58</f>
        <v>#DIV/0!</v>
      </c>
    </row>
    <row r="45" spans="2:9" ht="14.25" customHeight="1" x14ac:dyDescent="0.2">
      <c r="B45" s="96" t="s">
        <v>156</v>
      </c>
      <c r="C45" s="117" t="s">
        <v>13</v>
      </c>
      <c r="D45" s="117">
        <v>45</v>
      </c>
      <c r="E45" s="123" t="str">
        <f t="shared" si="0"/>
        <v>Copper and pyrithione</v>
      </c>
      <c r="F45" s="54" t="e">
        <f>'C_EU Marinas_Scenario_Calc'!S59+'P_EU Marinas_Scenario_Calc'!S59</f>
        <v>#DIV/0!</v>
      </c>
      <c r="G45" s="54" t="e">
        <f>'C_EU Marinas_Scenario_Calc'!T59+'P_EU Marinas_Scenario_Calc'!T59</f>
        <v>#DIV/0!</v>
      </c>
      <c r="H45" s="54" t="e">
        <f>'C_EU Marinas_Scenario_Calc'!U59+'P_EU Marinas_Scenario_Calc'!U59</f>
        <v>#DIV/0!</v>
      </c>
      <c r="I45" s="54" t="e">
        <f>'C_EU Marinas_Scenario_Calc'!V59+'P_EU Marinas_Scenario_Calc'!V59</f>
        <v>#DIV/0!</v>
      </c>
    </row>
    <row r="46" spans="2:9" ht="14.25" customHeight="1" x14ac:dyDescent="0.2">
      <c r="B46" s="96" t="s">
        <v>157</v>
      </c>
      <c r="C46" s="117" t="s">
        <v>13</v>
      </c>
      <c r="D46" s="117">
        <v>46</v>
      </c>
      <c r="E46" s="123" t="str">
        <f t="shared" si="0"/>
        <v>Copper and pyrithione</v>
      </c>
      <c r="F46" s="54" t="e">
        <f>'C_EU Marinas_Scenario_Calc'!S60+'P_EU Marinas_Scenario_Calc'!S60</f>
        <v>#DIV/0!</v>
      </c>
      <c r="G46" s="54" t="e">
        <f>'C_EU Marinas_Scenario_Calc'!T60+'P_EU Marinas_Scenario_Calc'!T60</f>
        <v>#DIV/0!</v>
      </c>
      <c r="H46" s="54" t="e">
        <f>'C_EU Marinas_Scenario_Calc'!U60+'P_EU Marinas_Scenario_Calc'!U60</f>
        <v>#DIV/0!</v>
      </c>
      <c r="I46" s="54" t="e">
        <f>'C_EU Marinas_Scenario_Calc'!V60+'P_EU Marinas_Scenario_Calc'!V60</f>
        <v>#DIV/0!</v>
      </c>
    </row>
    <row r="47" spans="2:9" ht="14.25" customHeight="1" x14ac:dyDescent="0.2">
      <c r="B47" s="96" t="s">
        <v>158</v>
      </c>
      <c r="C47" s="117" t="s">
        <v>13</v>
      </c>
      <c r="D47" s="117">
        <v>48</v>
      </c>
      <c r="E47" s="123" t="str">
        <f t="shared" si="0"/>
        <v>Copper and pyrithione</v>
      </c>
      <c r="F47" s="54" t="e">
        <f>'C_EU Marinas_Scenario_Calc'!S61+'P_EU Marinas_Scenario_Calc'!S61</f>
        <v>#DIV/0!</v>
      </c>
      <c r="G47" s="54" t="e">
        <f>'C_EU Marinas_Scenario_Calc'!T61+'P_EU Marinas_Scenario_Calc'!T61</f>
        <v>#DIV/0!</v>
      </c>
      <c r="H47" s="54" t="e">
        <f>'C_EU Marinas_Scenario_Calc'!U61+'P_EU Marinas_Scenario_Calc'!U61</f>
        <v>#DIV/0!</v>
      </c>
      <c r="I47" s="54" t="e">
        <f>'C_EU Marinas_Scenario_Calc'!V61+'P_EU Marinas_Scenario_Calc'!V61</f>
        <v>#DIV/0!</v>
      </c>
    </row>
    <row r="48" spans="2:9" ht="14.25" customHeight="1" x14ac:dyDescent="0.2">
      <c r="B48" s="96" t="s">
        <v>159</v>
      </c>
      <c r="C48" s="117" t="s">
        <v>160</v>
      </c>
      <c r="D48" s="117">
        <v>1</v>
      </c>
      <c r="E48" s="123" t="str">
        <f t="shared" si="0"/>
        <v>Copper and pyrithione</v>
      </c>
      <c r="F48" s="54" t="e">
        <f>'C_EU Marinas_Scenario_Calc'!S62+'P_EU Marinas_Scenario_Calc'!S62</f>
        <v>#DIV/0!</v>
      </c>
      <c r="G48" s="54" t="e">
        <f>'C_EU Marinas_Scenario_Calc'!T62+'P_EU Marinas_Scenario_Calc'!T62</f>
        <v>#DIV/0!</v>
      </c>
      <c r="H48" s="54" t="e">
        <f>'C_EU Marinas_Scenario_Calc'!U62+'P_EU Marinas_Scenario_Calc'!U62</f>
        <v>#DIV/0!</v>
      </c>
      <c r="I48" s="54" t="e">
        <f>'C_EU Marinas_Scenario_Calc'!V62+'P_EU Marinas_Scenario_Calc'!V62</f>
        <v>#DIV/0!</v>
      </c>
    </row>
    <row r="49" spans="2:9" ht="14.25" customHeight="1" x14ac:dyDescent="0.2">
      <c r="B49" s="96" t="s">
        <v>161</v>
      </c>
      <c r="C49" s="117" t="s">
        <v>160</v>
      </c>
      <c r="D49" s="117">
        <v>2</v>
      </c>
      <c r="E49" s="123" t="str">
        <f t="shared" si="0"/>
        <v>Copper and pyrithione</v>
      </c>
      <c r="F49" s="54" t="e">
        <f>'C_EU Marinas_Scenario_Calc'!S63+'P_EU Marinas_Scenario_Calc'!S63</f>
        <v>#DIV/0!</v>
      </c>
      <c r="G49" s="54" t="e">
        <f>'C_EU Marinas_Scenario_Calc'!T63+'P_EU Marinas_Scenario_Calc'!T63</f>
        <v>#DIV/0!</v>
      </c>
      <c r="H49" s="54" t="e">
        <f>'C_EU Marinas_Scenario_Calc'!U63+'P_EU Marinas_Scenario_Calc'!U63</f>
        <v>#DIV/0!</v>
      </c>
      <c r="I49" s="54" t="e">
        <f>'C_EU Marinas_Scenario_Calc'!V63+'P_EU Marinas_Scenario_Calc'!V63</f>
        <v>#DIV/0!</v>
      </c>
    </row>
    <row r="50" spans="2:9" ht="14.25" customHeight="1" x14ac:dyDescent="0.2">
      <c r="B50" s="96" t="s">
        <v>162</v>
      </c>
      <c r="C50" s="117" t="s">
        <v>160</v>
      </c>
      <c r="D50" s="117">
        <v>3</v>
      </c>
      <c r="E50" s="123" t="str">
        <f t="shared" si="0"/>
        <v>Copper and pyrithione</v>
      </c>
      <c r="F50" s="54" t="e">
        <f>'C_EU Marinas_Scenario_Calc'!S64+'P_EU Marinas_Scenario_Calc'!S64</f>
        <v>#DIV/0!</v>
      </c>
      <c r="G50" s="54" t="e">
        <f>'C_EU Marinas_Scenario_Calc'!T64+'P_EU Marinas_Scenario_Calc'!T64</f>
        <v>#DIV/0!</v>
      </c>
      <c r="H50" s="54" t="e">
        <f>'C_EU Marinas_Scenario_Calc'!U64+'P_EU Marinas_Scenario_Calc'!U64</f>
        <v>#DIV/0!</v>
      </c>
      <c r="I50" s="54" t="e">
        <f>'C_EU Marinas_Scenario_Calc'!V64+'P_EU Marinas_Scenario_Calc'!V64</f>
        <v>#DIV/0!</v>
      </c>
    </row>
    <row r="51" spans="2:9" ht="14.25" customHeight="1" x14ac:dyDescent="0.2">
      <c r="B51" s="96" t="s">
        <v>163</v>
      </c>
      <c r="C51" s="117" t="s">
        <v>160</v>
      </c>
      <c r="D51" s="117">
        <v>4</v>
      </c>
      <c r="E51" s="123" t="str">
        <f t="shared" si="0"/>
        <v>Copper and pyrithione</v>
      </c>
      <c r="F51" s="54" t="e">
        <f>'C_EU Marinas_Scenario_Calc'!S65+'P_EU Marinas_Scenario_Calc'!S65</f>
        <v>#DIV/0!</v>
      </c>
      <c r="G51" s="54" t="e">
        <f>'C_EU Marinas_Scenario_Calc'!T65+'P_EU Marinas_Scenario_Calc'!T65</f>
        <v>#DIV/0!</v>
      </c>
      <c r="H51" s="54" t="e">
        <f>'C_EU Marinas_Scenario_Calc'!U65+'P_EU Marinas_Scenario_Calc'!U65</f>
        <v>#DIV/0!</v>
      </c>
      <c r="I51" s="54" t="e">
        <f>'C_EU Marinas_Scenario_Calc'!V65+'P_EU Marinas_Scenario_Calc'!V65</f>
        <v>#DIV/0!</v>
      </c>
    </row>
    <row r="52" spans="2:9" ht="14.25" customHeight="1" x14ac:dyDescent="0.2">
      <c r="B52" s="96" t="s">
        <v>164</v>
      </c>
      <c r="C52" s="117" t="s">
        <v>160</v>
      </c>
      <c r="D52" s="117">
        <v>5</v>
      </c>
      <c r="E52" s="123" t="str">
        <f t="shared" si="0"/>
        <v>Copper and pyrithione</v>
      </c>
      <c r="F52" s="54" t="e">
        <f>'C_EU Marinas_Scenario_Calc'!S66+'P_EU Marinas_Scenario_Calc'!S66</f>
        <v>#DIV/0!</v>
      </c>
      <c r="G52" s="54" t="e">
        <f>'C_EU Marinas_Scenario_Calc'!T66+'P_EU Marinas_Scenario_Calc'!T66</f>
        <v>#DIV/0!</v>
      </c>
      <c r="H52" s="54" t="e">
        <f>'C_EU Marinas_Scenario_Calc'!U66+'P_EU Marinas_Scenario_Calc'!U66</f>
        <v>#DIV/0!</v>
      </c>
      <c r="I52" s="54" t="e">
        <f>'C_EU Marinas_Scenario_Calc'!V66+'P_EU Marinas_Scenario_Calc'!V66</f>
        <v>#DIV/0!</v>
      </c>
    </row>
    <row r="53" spans="2:9" ht="14.25" customHeight="1" x14ac:dyDescent="0.2">
      <c r="B53" s="127" t="s">
        <v>14</v>
      </c>
      <c r="C53" s="128"/>
      <c r="D53" s="128"/>
      <c r="E53" s="17"/>
      <c r="F53" s="129" t="e">
        <f>MAX($F$7:$F$52)</f>
        <v>#DIV/0!</v>
      </c>
      <c r="G53" s="129" t="e">
        <f>MAX($G$7:$G$52)</f>
        <v>#DIV/0!</v>
      </c>
      <c r="H53" s="129" t="e">
        <f>MAX($H$7:$H$52)</f>
        <v>#DIV/0!</v>
      </c>
      <c r="I53" s="129" t="e">
        <f>MAX($I$7:$I$52)</f>
        <v>#DIV/0!</v>
      </c>
    </row>
    <row r="54" spans="2:9" ht="14.25" customHeight="1" x14ac:dyDescent="0.2">
      <c r="B54" s="127" t="s">
        <v>15</v>
      </c>
      <c r="C54" s="128"/>
      <c r="D54" s="128"/>
      <c r="E54" s="17"/>
      <c r="F54" s="129" t="e">
        <f>MIN($F$7:$F$52)</f>
        <v>#DIV/0!</v>
      </c>
      <c r="G54" s="129" t="e">
        <f>MIN($G$7:$G$52)</f>
        <v>#DIV/0!</v>
      </c>
      <c r="H54" s="129" t="e">
        <f>MIN($H$7:$H$52)</f>
        <v>#DIV/0!</v>
      </c>
      <c r="I54" s="129" t="e">
        <f>MIN($I$7:$I$52)</f>
        <v>#DIV/0!</v>
      </c>
    </row>
    <row r="55" spans="2:9" ht="14.25" customHeight="1" x14ac:dyDescent="0.2">
      <c r="B55" s="116" t="s">
        <v>96</v>
      </c>
      <c r="C55" s="17"/>
      <c r="D55" s="17"/>
      <c r="E55" s="17"/>
      <c r="F55" s="129" t="e">
        <f>_xlfn.PERCENTILE.INC($F$7:$F$52,0.9)</f>
        <v>#DIV/0!</v>
      </c>
      <c r="G55" s="129" t="e">
        <f>_xlfn.PERCENTILE.INC($G$7:$G$52,0.9)</f>
        <v>#DIV/0!</v>
      </c>
      <c r="H55" s="129" t="e">
        <f>_xlfn.PERCENTILE.INC($H$7:$H$52,0.9)</f>
        <v>#DIV/0!</v>
      </c>
      <c r="I55" s="129" t="e">
        <f>_xlfn.PERCENTILE.INC($I$7:$I$52,0.9)</f>
        <v>#DIV/0!</v>
      </c>
    </row>
    <row r="56" spans="2:9" ht="14.25" customHeight="1" x14ac:dyDescent="0.2">
      <c r="B56" s="116" t="s">
        <v>97</v>
      </c>
      <c r="C56" s="17"/>
      <c r="D56" s="17"/>
      <c r="E56" s="17"/>
      <c r="F56" s="129" t="e">
        <f>_xlfn.PERCENTILE.INC($F$7:$F$52,0.8)</f>
        <v>#DIV/0!</v>
      </c>
      <c r="G56" s="129" t="e">
        <f>_xlfn.PERCENTILE.INC($G$7:$G$52,0.8)</f>
        <v>#DIV/0!</v>
      </c>
      <c r="H56" s="129" t="e">
        <f>_xlfn.PERCENTILE.INC($H$7:$H$52,0.8)</f>
        <v>#DIV/0!</v>
      </c>
      <c r="I56" s="129" t="e">
        <f>_xlfn.PERCENTILE.INC($I$7:$I$52,0.8)</f>
        <v>#DIV/0!</v>
      </c>
    </row>
    <row r="57" spans="2:9" ht="14.25" customHeight="1" x14ac:dyDescent="0.2">
      <c r="B57" s="116" t="s">
        <v>98</v>
      </c>
      <c r="C57" s="17"/>
      <c r="D57" s="17"/>
      <c r="E57" s="17"/>
      <c r="F57" s="129" t="e">
        <f>_xlfn.PERCENTILE.INC($F$7:$F$52,0.75)</f>
        <v>#DIV/0!</v>
      </c>
      <c r="G57" s="129" t="e">
        <f>_xlfn.PERCENTILE.INC($G$7:$G$52,0.75)</f>
        <v>#DIV/0!</v>
      </c>
      <c r="H57" s="129" t="e">
        <f>_xlfn.PERCENTILE.INC($H$7:$H$52,0.75)</f>
        <v>#DIV/0!</v>
      </c>
      <c r="I57" s="129" t="e">
        <f>_xlfn.PERCENTILE.INC($I$7:$I$52,0.75)</f>
        <v>#DIV/0!</v>
      </c>
    </row>
    <row r="58" spans="2:9" ht="14.25" customHeight="1" x14ac:dyDescent="0.2">
      <c r="B58" s="116" t="s">
        <v>99</v>
      </c>
      <c r="C58" s="17"/>
      <c r="D58" s="17"/>
      <c r="E58" s="17"/>
      <c r="F58" s="129" t="e">
        <f>_xlfn.PERCENTILE.INC($F$7:$F$52,0.5)</f>
        <v>#DIV/0!</v>
      </c>
      <c r="G58" s="129" t="e">
        <f>_xlfn.PERCENTILE.INC($G$7:$G$52,0.5)</f>
        <v>#DIV/0!</v>
      </c>
      <c r="H58" s="129" t="e">
        <f>_xlfn.PERCENTILE.INC($H$7:$H$52,0.5)</f>
        <v>#DIV/0!</v>
      </c>
      <c r="I58" s="129" t="e">
        <f>_xlfn.PERCENTILE.INC($I$7:$I$52,0.5)</f>
        <v>#DIV/0!</v>
      </c>
    </row>
    <row r="59" spans="2:9" ht="14.25" customHeight="1" x14ac:dyDescent="0.2">
      <c r="B59" s="116" t="s">
        <v>100</v>
      </c>
      <c r="C59" s="17"/>
      <c r="D59" s="17"/>
      <c r="E59" s="17"/>
      <c r="F59" s="129" t="e">
        <f>_xlfn.PERCENTILE.INC($F$7:$F$52,0.25)</f>
        <v>#DIV/0!</v>
      </c>
      <c r="G59" s="129" t="e">
        <f>_xlfn.PERCENTILE.INC($G$7:$G$52,0.25)</f>
        <v>#DIV/0!</v>
      </c>
      <c r="H59" s="129" t="e">
        <f>_xlfn.PERCENTILE.INC($H$7:$H$52,0.25)</f>
        <v>#DIV/0!</v>
      </c>
      <c r="I59" s="129" t="e">
        <f>_xlfn.PERCENTILE.INC($I$7:$I$52,0.25)</f>
        <v>#DIV/0!</v>
      </c>
    </row>
    <row r="60" spans="2:9" ht="14.25" customHeight="1" x14ac:dyDescent="0.2">
      <c r="B60" s="116" t="s">
        <v>101</v>
      </c>
      <c r="C60" s="17"/>
      <c r="D60" s="17"/>
      <c r="E60" s="17"/>
      <c r="F60" s="129" t="e">
        <f>_xlfn.PERCENTILE.INC($F$7:$F$52,0.1)</f>
        <v>#DIV/0!</v>
      </c>
      <c r="G60" s="129" t="e">
        <f>_xlfn.PERCENTILE.INC($G$7:$G$52,0.1)</f>
        <v>#DIV/0!</v>
      </c>
      <c r="H60" s="129" t="e">
        <f>_xlfn.PERCENTILE.INC($H$7:$H$52,0.1)</f>
        <v>#DIV/0!</v>
      </c>
      <c r="I60" s="129" t="e">
        <f>_xlfn.PERCENTILE.INC($I$7:$I$52,0.1)</f>
        <v>#DIV/0!</v>
      </c>
    </row>
    <row r="61" spans="2:9" ht="14.25" customHeight="1" x14ac:dyDescent="0.2"/>
    <row r="62" spans="2:9" ht="14.25" customHeight="1" x14ac:dyDescent="0.2"/>
    <row r="63" spans="2:9" ht="14.25" customHeight="1" x14ac:dyDescent="0.2"/>
    <row r="64" spans="2:9" ht="14.25" customHeight="1" x14ac:dyDescent="0.2"/>
    <row r="65" ht="14.25" customHeight="1" x14ac:dyDescent="0.2"/>
  </sheetData>
  <mergeCells count="2">
    <mergeCell ref="B2:N2"/>
    <mergeCell ref="B5:I5"/>
  </mergeCell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L22"/>
  <sheetViews>
    <sheetView zoomScale="90" zoomScaleNormal="90" workbookViewId="0"/>
  </sheetViews>
  <sheetFormatPr defaultRowHeight="12.75" x14ac:dyDescent="0.2"/>
  <cols>
    <col min="1" max="1" width="9" style="91"/>
    <col min="2" max="2" width="31.625" style="91" customWidth="1"/>
    <col min="3" max="3" width="25.625" style="91" customWidth="1"/>
    <col min="4" max="10" width="15.625" style="91" customWidth="1"/>
    <col min="11" max="13" width="9" style="91"/>
    <col min="14" max="18" width="12.625" style="91" customWidth="1"/>
    <col min="19" max="16384" width="9" style="91"/>
  </cols>
  <sheetData>
    <row r="2" spans="1:12" customFormat="1" ht="21" thickBot="1" x14ac:dyDescent="0.35">
      <c r="A2" s="91"/>
      <c r="B2" s="191" t="s">
        <v>103</v>
      </c>
      <c r="C2" s="191"/>
      <c r="D2" s="191"/>
      <c r="E2" s="191"/>
      <c r="F2" s="191"/>
      <c r="G2" s="191"/>
      <c r="H2" s="191"/>
      <c r="I2" s="191"/>
      <c r="J2" s="191"/>
      <c r="K2" s="191"/>
      <c r="L2" s="191"/>
    </row>
    <row r="3" spans="1:12" customFormat="1" ht="14.25" customHeight="1" thickTop="1" x14ac:dyDescent="0.2">
      <c r="A3" s="91"/>
      <c r="B3" s="148" t="str">
        <f>Tooltype</f>
        <v>Freshwater calculator tool</v>
      </c>
      <c r="C3" s="91"/>
      <c r="D3" s="91"/>
      <c r="E3" s="91"/>
      <c r="F3" s="91"/>
      <c r="G3" s="91"/>
      <c r="H3" s="91"/>
      <c r="I3" s="91"/>
      <c r="J3" s="91"/>
      <c r="K3" s="91"/>
      <c r="L3" s="91"/>
    </row>
    <row r="4" spans="1:12" customFormat="1" ht="14.25" customHeight="1" x14ac:dyDescent="0.2">
      <c r="A4" s="91"/>
      <c r="B4" s="91"/>
      <c r="C4" s="91"/>
      <c r="D4" s="91"/>
      <c r="E4" s="91"/>
      <c r="F4" s="91"/>
      <c r="G4" s="91"/>
      <c r="H4" s="91"/>
      <c r="I4" s="91"/>
      <c r="J4" s="91"/>
      <c r="K4" s="91"/>
      <c r="L4" s="91"/>
    </row>
    <row r="5" spans="1:12" customFormat="1" ht="14.25" customHeight="1" x14ac:dyDescent="0.2">
      <c r="A5" s="91"/>
      <c r="B5" s="193" t="s">
        <v>200</v>
      </c>
      <c r="C5" s="193"/>
      <c r="D5" s="193"/>
      <c r="E5" s="193"/>
      <c r="F5" s="193"/>
      <c r="G5" s="193"/>
      <c r="H5" s="91"/>
      <c r="I5" s="91"/>
      <c r="J5" s="91"/>
      <c r="K5" s="91"/>
      <c r="L5" s="91"/>
    </row>
    <row r="6" spans="1:12" customFormat="1" ht="99.95" customHeight="1" x14ac:dyDescent="0.2">
      <c r="A6" s="91"/>
      <c r="B6" s="102" t="s">
        <v>9</v>
      </c>
      <c r="C6" s="102" t="s">
        <v>11</v>
      </c>
      <c r="D6" s="13" t="s">
        <v>198</v>
      </c>
      <c r="E6" s="13" t="s">
        <v>199</v>
      </c>
      <c r="F6" s="13" t="s">
        <v>196</v>
      </c>
      <c r="G6" s="13" t="s">
        <v>197</v>
      </c>
      <c r="H6" s="91"/>
      <c r="I6" s="91"/>
      <c r="J6" s="91"/>
      <c r="K6" s="91"/>
      <c r="L6" s="91"/>
    </row>
    <row r="7" spans="1:12" customFormat="1" ht="14.25" customHeight="1" x14ac:dyDescent="0.2">
      <c r="A7" s="91"/>
      <c r="B7" s="121" t="s">
        <v>172</v>
      </c>
      <c r="C7" s="105" t="str">
        <f>Substance</f>
        <v>Copper and pyrithione</v>
      </c>
      <c r="D7" s="54" t="e">
        <f>'C_Regulatory_ Marinas_Calc'!Q21+'P_Regulatory_ Marinas_Calc'!Q21</f>
        <v>#DIV/0!</v>
      </c>
      <c r="E7" s="54" t="e">
        <f>'C_Regulatory_ Marinas_Calc'!R21+'P_Regulatory_ Marinas_Calc'!R21</f>
        <v>#DIV/0!</v>
      </c>
      <c r="F7" s="54" t="e">
        <f>'C_Regulatory_ Marinas_Calc'!S21+'P_Regulatory_ Marinas_Calc'!S21</f>
        <v>#DIV/0!</v>
      </c>
      <c r="G7" s="54" t="e">
        <f>'C_Regulatory_ Marinas_Calc'!T21+'P_Regulatory_ Marinas_Calc'!T21</f>
        <v>#DIV/0!</v>
      </c>
      <c r="H7" s="91"/>
      <c r="I7" s="91"/>
      <c r="J7" s="91"/>
      <c r="K7" s="91"/>
      <c r="L7" s="91"/>
    </row>
    <row r="8" spans="1:12" customFormat="1" ht="14.25" customHeight="1" x14ac:dyDescent="0.2">
      <c r="A8" s="91"/>
      <c r="B8" s="121" t="s">
        <v>173</v>
      </c>
      <c r="C8" s="105" t="str">
        <f>Substance</f>
        <v>Copper and pyrithione</v>
      </c>
      <c r="D8" s="54" t="e">
        <f>'C_Regulatory_ Marinas_Calc'!Q22+'P_Regulatory_ Marinas_Calc'!Q22</f>
        <v>#DIV/0!</v>
      </c>
      <c r="E8" s="54" t="e">
        <f>'C_Regulatory_ Marinas_Calc'!R22+'P_Regulatory_ Marinas_Calc'!R22</f>
        <v>#DIV/0!</v>
      </c>
      <c r="F8" s="54" t="e">
        <f>'C_Regulatory_ Marinas_Calc'!S22+'P_Regulatory_ Marinas_Calc'!S22</f>
        <v>#DIV/0!</v>
      </c>
      <c r="G8" s="54" t="e">
        <f>'C_Regulatory_ Marinas_Calc'!T22+'P_Regulatory_ Marinas_Calc'!T22</f>
        <v>#DIV/0!</v>
      </c>
    </row>
    <row r="9" spans="1:12" customFormat="1" ht="14.25" customHeight="1" x14ac:dyDescent="0.2">
      <c r="A9" s="91"/>
    </row>
    <row r="10" spans="1:12" customFormat="1" ht="14.25" customHeight="1" x14ac:dyDescent="0.2">
      <c r="A10" s="91"/>
    </row>
    <row r="11" spans="1:12" customFormat="1" ht="14.25" customHeight="1" x14ac:dyDescent="0.2">
      <c r="A11" s="91"/>
    </row>
    <row r="12" spans="1:12" customFormat="1" ht="14.25" customHeight="1" x14ac:dyDescent="0.2">
      <c r="A12" s="91"/>
    </row>
    <row r="13" spans="1:12" customFormat="1" ht="14.25" customHeight="1" x14ac:dyDescent="0.2">
      <c r="A13" s="91"/>
    </row>
    <row r="14" spans="1:12" customFormat="1" ht="14.25" customHeight="1" x14ac:dyDescent="0.2">
      <c r="A14" s="91"/>
    </row>
    <row r="15" spans="1:12" customFormat="1" ht="14.25" customHeight="1" x14ac:dyDescent="0.2">
      <c r="A15" s="91"/>
    </row>
    <row r="16" spans="1:12" customFormat="1" ht="14.25" customHeight="1" x14ac:dyDescent="0.2">
      <c r="A16" s="91"/>
    </row>
    <row r="17" spans="1:1" customFormat="1" ht="14.25" customHeight="1" x14ac:dyDescent="0.2">
      <c r="A17" s="91"/>
    </row>
    <row r="18" spans="1:1" customFormat="1" ht="14.25" customHeight="1" x14ac:dyDescent="0.2">
      <c r="A18" s="91"/>
    </row>
    <row r="19" spans="1:1" customFormat="1" x14ac:dyDescent="0.2">
      <c r="A19" s="91"/>
    </row>
    <row r="20" spans="1:1" customFormat="1" x14ac:dyDescent="0.2">
      <c r="A20" s="91"/>
    </row>
    <row r="21" spans="1:1" customFormat="1" ht="15" customHeight="1" x14ac:dyDescent="0.2">
      <c r="A21" s="91"/>
    </row>
    <row r="22" spans="1:1" customFormat="1" ht="15" customHeight="1" x14ac:dyDescent="0.2">
      <c r="A22" s="91"/>
    </row>
  </sheetData>
  <mergeCells count="2">
    <mergeCell ref="B2:L2"/>
    <mergeCell ref="B5:G5"/>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249977111117893"/>
  </sheetPr>
  <dimension ref="A2:V74"/>
  <sheetViews>
    <sheetView zoomScale="90" zoomScaleNormal="90" workbookViewId="0"/>
  </sheetViews>
  <sheetFormatPr defaultRowHeight="12.75" x14ac:dyDescent="0.2"/>
  <cols>
    <col min="1" max="1" width="9" style="3"/>
    <col min="2" max="2" width="21.125" style="3" customWidth="1"/>
    <col min="3" max="3" width="3.875" style="3" bestFit="1" customWidth="1"/>
    <col min="4" max="4" width="5.75" style="3" bestFit="1" customWidth="1"/>
    <col min="5" max="5" width="28.625" style="3" customWidth="1"/>
    <col min="6" max="6" width="13.625" style="3" bestFit="1" customWidth="1"/>
    <col min="7" max="14" width="15.625" style="3" customWidth="1"/>
    <col min="15" max="18" width="11.625" style="3" customWidth="1"/>
    <col min="19" max="19" width="14.5" style="3" bestFit="1" customWidth="1"/>
    <col min="20" max="20" width="18.375" style="3" bestFit="1" customWidth="1"/>
    <col min="21" max="22" width="14.5" style="3" bestFit="1" customWidth="1"/>
    <col min="23" max="16384" width="9" style="3"/>
  </cols>
  <sheetData>
    <row r="2" spans="2:18" ht="21" customHeight="1" thickBot="1" x14ac:dyDescent="0.35">
      <c r="B2" s="196" t="s">
        <v>103</v>
      </c>
      <c r="C2" s="196"/>
      <c r="D2" s="196"/>
      <c r="E2" s="196"/>
      <c r="F2" s="196"/>
      <c r="G2" s="196"/>
      <c r="H2" s="196"/>
      <c r="I2" s="196"/>
      <c r="J2" s="196"/>
      <c r="K2" s="196"/>
      <c r="L2" s="196"/>
      <c r="M2" s="196"/>
      <c r="N2" s="196"/>
      <c r="O2" s="196"/>
      <c r="P2" s="196"/>
      <c r="Q2" s="196"/>
      <c r="R2" s="196"/>
    </row>
    <row r="3" spans="2:18" ht="15" customHeight="1" thickTop="1" x14ac:dyDescent="0.2">
      <c r="B3" s="148" t="str">
        <f>Tooltype</f>
        <v>Freshwater calculator tool</v>
      </c>
    </row>
    <row r="4" spans="2:18" ht="15" customHeight="1" thickBot="1" x14ac:dyDescent="0.35">
      <c r="B4" s="198" t="s">
        <v>49</v>
      </c>
      <c r="C4" s="198"/>
      <c r="D4" s="198"/>
      <c r="E4" s="198"/>
      <c r="F4" s="198"/>
      <c r="G4" s="198"/>
      <c r="H4" s="198"/>
      <c r="K4" s="198" t="s">
        <v>249</v>
      </c>
      <c r="L4" s="198"/>
      <c r="M4" s="198"/>
      <c r="N4" s="198"/>
      <c r="O4" s="198"/>
      <c r="P4" s="198"/>
      <c r="Q4" s="198"/>
    </row>
    <row r="5" spans="2:18" ht="15" customHeight="1" thickTop="1" x14ac:dyDescent="0.2"/>
    <row r="6" spans="2:18" ht="15" customHeight="1" x14ac:dyDescent="0.2">
      <c r="B6" s="3" t="s">
        <v>69</v>
      </c>
      <c r="G6" s="53">
        <v>2.5</v>
      </c>
      <c r="H6" s="28" t="s">
        <v>166</v>
      </c>
      <c r="K6" s="6" t="s">
        <v>251</v>
      </c>
      <c r="P6" s="57">
        <v>30.7</v>
      </c>
      <c r="Q6" s="6" t="s">
        <v>227</v>
      </c>
    </row>
    <row r="7" spans="2:18" ht="15" customHeight="1" x14ac:dyDescent="0.2">
      <c r="B7" s="3" t="s">
        <v>54</v>
      </c>
      <c r="G7" s="3">
        <f>C_Average_biocide_release_over_the_lifetime_of_the_paint_M</f>
        <v>0</v>
      </c>
      <c r="H7" s="28" t="s">
        <v>166</v>
      </c>
      <c r="K7" s="6" t="s">
        <v>250</v>
      </c>
      <c r="P7" s="158">
        <v>22</v>
      </c>
      <c r="Q7" s="6" t="s">
        <v>227</v>
      </c>
    </row>
    <row r="8" spans="2:18" ht="15" customHeight="1" x14ac:dyDescent="0.2">
      <c r="B8" s="3" t="s">
        <v>55</v>
      </c>
      <c r="G8" s="37" t="e">
        <f>C_Average_biocide_release_over_the_lifetime_of_the_paint_C</f>
        <v>#DIV/0!</v>
      </c>
      <c r="H8" s="28" t="s">
        <v>166</v>
      </c>
      <c r="K8" s="3" t="s">
        <v>50</v>
      </c>
      <c r="P8" s="37">
        <f>WSA_freshwater/WSA_OECD_default</f>
        <v>0.71661237785016285</v>
      </c>
      <c r="Q8" s="109" t="s">
        <v>2</v>
      </c>
    </row>
    <row r="9" spans="2:18" ht="15" customHeight="1" x14ac:dyDescent="0.2">
      <c r="B9" s="3" t="s">
        <v>53</v>
      </c>
      <c r="G9" s="40">
        <f>IF(ISBLANK(C_Average_biocide_release_over_the_lifetime_of_the_paint_M),1,0)</f>
        <v>1</v>
      </c>
      <c r="H9" s="28"/>
    </row>
    <row r="10" spans="2:18" ht="15" customHeight="1" x14ac:dyDescent="0.2">
      <c r="B10" s="3" t="s">
        <v>52</v>
      </c>
      <c r="G10" s="37" t="e">
        <f>IF((G9&lt;1),C_Average_biocide_release_over_the_lifetime_of_the_paint_M,C_Average_biocide_release_over_the_lifetime_of_the_paint_C)</f>
        <v>#DIV/0!</v>
      </c>
      <c r="H10" s="28" t="s">
        <v>166</v>
      </c>
    </row>
    <row r="11" spans="2:18" ht="15" customHeight="1" x14ac:dyDescent="0.2">
      <c r="B11" s="3" t="s">
        <v>50</v>
      </c>
      <c r="G11" s="37" t="e">
        <f>G10/G6</f>
        <v>#DIV/0!</v>
      </c>
      <c r="H11" s="3" t="s">
        <v>2</v>
      </c>
    </row>
    <row r="12" spans="2:18" ht="15" customHeight="1" x14ac:dyDescent="0.2">
      <c r="G12" s="37"/>
    </row>
    <row r="13" spans="2:18" ht="15" customHeight="1" thickBot="1" x14ac:dyDescent="0.35">
      <c r="B13" s="198" t="s">
        <v>68</v>
      </c>
      <c r="C13" s="198"/>
      <c r="D13" s="198"/>
      <c r="E13" s="198"/>
      <c r="F13" s="198"/>
      <c r="G13" s="198"/>
      <c r="H13" s="198"/>
    </row>
    <row r="14" spans="2:18" ht="15" customHeight="1" thickTop="1" x14ac:dyDescent="0.2"/>
    <row r="15" spans="2:18" ht="15" customHeight="1" x14ac:dyDescent="0.2">
      <c r="B15" s="3" t="s">
        <v>75</v>
      </c>
      <c r="G15" s="159">
        <v>0.9</v>
      </c>
    </row>
    <row r="16" spans="2:18" ht="15" customHeight="1" x14ac:dyDescent="0.2">
      <c r="B16" s="3" t="s">
        <v>70</v>
      </c>
      <c r="G16" s="37">
        <f>Application_Factor</f>
        <v>0.9</v>
      </c>
    </row>
    <row r="17" spans="2:22" ht="15" customHeight="1" x14ac:dyDescent="0.2">
      <c r="B17" s="3" t="s">
        <v>50</v>
      </c>
      <c r="G17" s="37">
        <f>G16/G15</f>
        <v>1</v>
      </c>
      <c r="H17" s="51"/>
    </row>
    <row r="18" spans="2:22" ht="15" customHeight="1" x14ac:dyDescent="0.2"/>
    <row r="19" spans="2:22" ht="15" x14ac:dyDescent="0.2">
      <c r="B19" s="193" t="s">
        <v>83</v>
      </c>
      <c r="C19" s="193"/>
      <c r="D19" s="193"/>
      <c r="E19" s="193"/>
      <c r="F19" s="193"/>
      <c r="G19" s="193"/>
      <c r="H19" s="193"/>
      <c r="I19" s="193"/>
      <c r="J19" s="193"/>
      <c r="K19" s="193"/>
      <c r="L19" s="193"/>
      <c r="M19" s="193"/>
      <c r="N19" s="193"/>
      <c r="O19" s="193"/>
      <c r="P19" s="193"/>
      <c r="Q19" s="193"/>
      <c r="R19" s="193"/>
      <c r="S19" s="193"/>
      <c r="T19" s="193"/>
      <c r="U19" s="193"/>
      <c r="V19" s="193"/>
    </row>
    <row r="20" spans="2:22" ht="95.1" customHeight="1" x14ac:dyDescent="0.2">
      <c r="B20" s="92" t="s">
        <v>9</v>
      </c>
      <c r="C20" s="93" t="s">
        <v>187</v>
      </c>
      <c r="D20" s="93" t="s">
        <v>186</v>
      </c>
      <c r="E20" s="92" t="s">
        <v>11</v>
      </c>
      <c r="F20" s="12" t="s">
        <v>76</v>
      </c>
      <c r="G20" s="13" t="s">
        <v>228</v>
      </c>
      <c r="H20" s="13" t="s">
        <v>229</v>
      </c>
      <c r="I20" s="13" t="s">
        <v>188</v>
      </c>
      <c r="J20" s="13" t="s">
        <v>230</v>
      </c>
      <c r="K20" s="13" t="s">
        <v>176</v>
      </c>
      <c r="L20" s="13" t="s">
        <v>231</v>
      </c>
      <c r="M20" s="13" t="s">
        <v>177</v>
      </c>
      <c r="N20" s="13" t="s">
        <v>232</v>
      </c>
      <c r="O20" s="12" t="s">
        <v>181</v>
      </c>
      <c r="P20" s="12" t="s">
        <v>180</v>
      </c>
      <c r="Q20" s="12" t="s">
        <v>179</v>
      </c>
      <c r="R20" s="12" t="s">
        <v>189</v>
      </c>
      <c r="S20" s="12" t="s">
        <v>60</v>
      </c>
      <c r="T20" s="12" t="s">
        <v>61</v>
      </c>
      <c r="U20" s="12" t="s">
        <v>62</v>
      </c>
      <c r="V20" s="12" t="s">
        <v>63</v>
      </c>
    </row>
    <row r="21" spans="2:22" ht="14.25" customHeight="1" x14ac:dyDescent="0.2">
      <c r="B21" s="96" t="s">
        <v>106</v>
      </c>
      <c r="C21" s="11" t="s">
        <v>107</v>
      </c>
      <c r="D21" s="11">
        <v>1</v>
      </c>
      <c r="E21" s="96" t="str">
        <f t="shared" ref="E21:E66" si="0">C_Compound_Name</f>
        <v>Copper</v>
      </c>
      <c r="F21" s="56">
        <v>220</v>
      </c>
      <c r="G21" s="100">
        <v>13.330968580245999</v>
      </c>
      <c r="H21" s="100">
        <v>403.208478240967</v>
      </c>
      <c r="I21" s="100">
        <v>9.5447138102220698E-4</v>
      </c>
      <c r="J21" s="100">
        <v>2.88689416506289E-2</v>
      </c>
      <c r="K21" s="54" t="e">
        <f t="shared" ref="K21:K66" si="1">((($F21/100)*$G21)*C_Leaching_Conversion_Factor*Application_Conversion_Factor*WSA_ConversionFactor)+C_Background_SW_Freshwater</f>
        <v>#DIV/0!</v>
      </c>
      <c r="L21" s="54" t="e">
        <f t="shared" ref="L21:L66" si="2">((($F21/100)*$H21)*C_Leaching_Conversion_Factor*Application_Conversion_Factor*WSA_ConversionFactor)+C_Background_Sed_Freshwater</f>
        <v>#DIV/0!</v>
      </c>
      <c r="M21" s="54" t="e">
        <f t="shared" ref="M21:M66" si="3">((($F21/100)*$I21)*C_Leaching_Conversion_Factor*Application_Conversion_Factor*WSA_ConversionFactor)+C_Background_SW_Freshwater</f>
        <v>#DIV/0!</v>
      </c>
      <c r="N21" s="54" t="e">
        <f t="shared" ref="N21:N66" si="4">((($F21/100)*$J21)*C_Leaching_Conversion_Factor*Application_Conversion_Factor*WSA_ConversionFactor)+C_Background_Sed_Freshwater</f>
        <v>#DIV/0!</v>
      </c>
      <c r="O21" s="199">
        <f>C_PNEC_Aquatic_Inside</f>
        <v>7.8</v>
      </c>
      <c r="P21" s="199">
        <f>C_PNEC_Sediment_Inside</f>
        <v>87</v>
      </c>
      <c r="Q21" s="199">
        <f>C_PNEC_Aquatic_Surrounding</f>
        <v>7.8</v>
      </c>
      <c r="R21" s="199">
        <f>C_PNEC_Sediment_Surrounding</f>
        <v>87</v>
      </c>
      <c r="S21" s="73" t="e">
        <f t="shared" ref="S21:S66" si="5">$K21/C_PNEC_Aquatic_Inside</f>
        <v>#DIV/0!</v>
      </c>
      <c r="T21" s="73" t="e">
        <f t="shared" ref="T21:T66" si="6">$L21/C_PNEC_Sediment_Inside</f>
        <v>#DIV/0!</v>
      </c>
      <c r="U21" s="73" t="e">
        <f t="shared" ref="U21:U66" si="7">$M21/C_PNEC_Aquatic_Surrounding</f>
        <v>#DIV/0!</v>
      </c>
      <c r="V21" s="73" t="e">
        <f t="shared" ref="V21:V66" si="8">$N21/C_PNEC_Sediment_Surrounding</f>
        <v>#DIV/0!</v>
      </c>
    </row>
    <row r="22" spans="2:22" ht="14.25" customHeight="1" x14ac:dyDescent="0.2">
      <c r="B22" s="96" t="s">
        <v>108</v>
      </c>
      <c r="C22" s="11" t="s">
        <v>107</v>
      </c>
      <c r="D22" s="11">
        <v>2</v>
      </c>
      <c r="E22" s="96" t="str">
        <f t="shared" si="0"/>
        <v>Copper</v>
      </c>
      <c r="F22" s="56">
        <v>252</v>
      </c>
      <c r="G22" s="100">
        <v>11.230995531082201</v>
      </c>
      <c r="H22" s="100">
        <v>339.692694244385</v>
      </c>
      <c r="I22" s="100">
        <v>1.27923416412159E-3</v>
      </c>
      <c r="J22" s="100">
        <v>3.8691716916315899E-2</v>
      </c>
      <c r="K22" s="54" t="e">
        <f t="shared" si="1"/>
        <v>#DIV/0!</v>
      </c>
      <c r="L22" s="54" t="e">
        <f t="shared" si="2"/>
        <v>#DIV/0!</v>
      </c>
      <c r="M22" s="54" t="e">
        <f t="shared" si="3"/>
        <v>#DIV/0!</v>
      </c>
      <c r="N22" s="54" t="e">
        <f t="shared" si="4"/>
        <v>#DIV/0!</v>
      </c>
      <c r="O22" s="199"/>
      <c r="P22" s="199"/>
      <c r="Q22" s="199"/>
      <c r="R22" s="199"/>
      <c r="S22" s="73" t="e">
        <f t="shared" si="5"/>
        <v>#DIV/0!</v>
      </c>
      <c r="T22" s="73" t="e">
        <f t="shared" si="6"/>
        <v>#DIV/0!</v>
      </c>
      <c r="U22" s="73" t="e">
        <f t="shared" si="7"/>
        <v>#DIV/0!</v>
      </c>
      <c r="V22" s="73" t="e">
        <f t="shared" si="8"/>
        <v>#DIV/0!</v>
      </c>
    </row>
    <row r="23" spans="2:22" ht="14.25" customHeight="1" x14ac:dyDescent="0.2">
      <c r="B23" s="96" t="s">
        <v>109</v>
      </c>
      <c r="C23" s="11" t="s">
        <v>107</v>
      </c>
      <c r="D23" s="11">
        <v>3</v>
      </c>
      <c r="E23" s="96" t="str">
        <f t="shared" si="0"/>
        <v>Copper</v>
      </c>
      <c r="F23" s="56">
        <v>330</v>
      </c>
      <c r="G23" s="100">
        <v>5.8847007501125299</v>
      </c>
      <c r="H23" s="100">
        <v>177.988660888672</v>
      </c>
      <c r="I23" s="100">
        <v>2.1520182277587701E-3</v>
      </c>
      <c r="J23" s="100">
        <v>6.50899437816891E-2</v>
      </c>
      <c r="K23" s="54" t="e">
        <f t="shared" si="1"/>
        <v>#DIV/0!</v>
      </c>
      <c r="L23" s="54" t="e">
        <f t="shared" si="2"/>
        <v>#DIV/0!</v>
      </c>
      <c r="M23" s="54" t="e">
        <f t="shared" si="3"/>
        <v>#DIV/0!</v>
      </c>
      <c r="N23" s="54" t="e">
        <f t="shared" si="4"/>
        <v>#DIV/0!</v>
      </c>
      <c r="O23" s="199"/>
      <c r="P23" s="199"/>
      <c r="Q23" s="199"/>
      <c r="R23" s="199"/>
      <c r="S23" s="73" t="e">
        <f t="shared" si="5"/>
        <v>#DIV/0!</v>
      </c>
      <c r="T23" s="73" t="e">
        <f t="shared" si="6"/>
        <v>#DIV/0!</v>
      </c>
      <c r="U23" s="73" t="e">
        <f t="shared" si="7"/>
        <v>#DIV/0!</v>
      </c>
      <c r="V23" s="73" t="e">
        <f t="shared" si="8"/>
        <v>#DIV/0!</v>
      </c>
    </row>
    <row r="24" spans="2:22" ht="14.25" customHeight="1" x14ac:dyDescent="0.2">
      <c r="B24" s="96" t="s">
        <v>110</v>
      </c>
      <c r="C24" s="11" t="s">
        <v>107</v>
      </c>
      <c r="D24" s="11">
        <v>4</v>
      </c>
      <c r="E24" s="96" t="str">
        <f t="shared" si="0"/>
        <v>Copper</v>
      </c>
      <c r="F24" s="56">
        <v>577</v>
      </c>
      <c r="G24" s="100">
        <v>5.2852701139450096</v>
      </c>
      <c r="H24" s="100">
        <v>159.85828155517601</v>
      </c>
      <c r="I24" s="100">
        <v>1.37915389075109E-3</v>
      </c>
      <c r="J24" s="100">
        <v>4.1713888933688097E-2</v>
      </c>
      <c r="K24" s="54" t="e">
        <f t="shared" si="1"/>
        <v>#DIV/0!</v>
      </c>
      <c r="L24" s="54" t="e">
        <f t="shared" si="2"/>
        <v>#DIV/0!</v>
      </c>
      <c r="M24" s="54" t="e">
        <f t="shared" si="3"/>
        <v>#DIV/0!</v>
      </c>
      <c r="N24" s="54" t="e">
        <f t="shared" si="4"/>
        <v>#DIV/0!</v>
      </c>
      <c r="O24" s="199"/>
      <c r="P24" s="199"/>
      <c r="Q24" s="199"/>
      <c r="R24" s="199"/>
      <c r="S24" s="73" t="e">
        <f t="shared" si="5"/>
        <v>#DIV/0!</v>
      </c>
      <c r="T24" s="73" t="e">
        <f t="shared" si="6"/>
        <v>#DIV/0!</v>
      </c>
      <c r="U24" s="73" t="e">
        <f t="shared" si="7"/>
        <v>#DIV/0!</v>
      </c>
      <c r="V24" s="73" t="e">
        <f t="shared" si="8"/>
        <v>#DIV/0!</v>
      </c>
    </row>
    <row r="25" spans="2:22" ht="14.25" customHeight="1" x14ac:dyDescent="0.2">
      <c r="B25" s="96" t="s">
        <v>111</v>
      </c>
      <c r="C25" s="11" t="s">
        <v>107</v>
      </c>
      <c r="D25" s="11">
        <v>5</v>
      </c>
      <c r="E25" s="96" t="str">
        <f t="shared" si="0"/>
        <v>Copper</v>
      </c>
      <c r="F25" s="56">
        <v>100</v>
      </c>
      <c r="G25" s="100">
        <v>13.8800725078583</v>
      </c>
      <c r="H25" s="100">
        <v>419.816674041748</v>
      </c>
      <c r="I25" s="100">
        <v>6.0892315535584596E-4</v>
      </c>
      <c r="J25" s="100">
        <v>1.8417489950425001E-2</v>
      </c>
      <c r="K25" s="54" t="e">
        <f t="shared" si="1"/>
        <v>#DIV/0!</v>
      </c>
      <c r="L25" s="54" t="e">
        <f t="shared" si="2"/>
        <v>#DIV/0!</v>
      </c>
      <c r="M25" s="54" t="e">
        <f t="shared" si="3"/>
        <v>#DIV/0!</v>
      </c>
      <c r="N25" s="54" t="e">
        <f t="shared" si="4"/>
        <v>#DIV/0!</v>
      </c>
      <c r="O25" s="199"/>
      <c r="P25" s="199"/>
      <c r="Q25" s="199"/>
      <c r="R25" s="199"/>
      <c r="S25" s="73" t="e">
        <f t="shared" si="5"/>
        <v>#DIV/0!</v>
      </c>
      <c r="T25" s="73" t="e">
        <f t="shared" si="6"/>
        <v>#DIV/0!</v>
      </c>
      <c r="U25" s="73" t="e">
        <f t="shared" si="7"/>
        <v>#DIV/0!</v>
      </c>
      <c r="V25" s="73" t="e">
        <f t="shared" si="8"/>
        <v>#DIV/0!</v>
      </c>
    </row>
    <row r="26" spans="2:22" ht="14.25" customHeight="1" x14ac:dyDescent="0.2">
      <c r="B26" s="96" t="s">
        <v>112</v>
      </c>
      <c r="C26" s="11" t="s">
        <v>107</v>
      </c>
      <c r="D26" s="11">
        <v>6</v>
      </c>
      <c r="E26" s="96" t="str">
        <f t="shared" si="0"/>
        <v>Copper</v>
      </c>
      <c r="F26" s="56">
        <v>260</v>
      </c>
      <c r="G26" s="100">
        <v>5.6731046819686899</v>
      </c>
      <c r="H26" s="100">
        <v>171.58872543334999</v>
      </c>
      <c r="I26" s="100">
        <v>1.7086123249695099E-4</v>
      </c>
      <c r="J26" s="100">
        <v>5.1678689078745203E-3</v>
      </c>
      <c r="K26" s="54" t="e">
        <f t="shared" si="1"/>
        <v>#DIV/0!</v>
      </c>
      <c r="L26" s="54" t="e">
        <f t="shared" si="2"/>
        <v>#DIV/0!</v>
      </c>
      <c r="M26" s="54" t="e">
        <f t="shared" si="3"/>
        <v>#DIV/0!</v>
      </c>
      <c r="N26" s="54" t="e">
        <f t="shared" si="4"/>
        <v>#DIV/0!</v>
      </c>
      <c r="O26" s="199"/>
      <c r="P26" s="199"/>
      <c r="Q26" s="199"/>
      <c r="R26" s="199"/>
      <c r="S26" s="73" t="e">
        <f t="shared" si="5"/>
        <v>#DIV/0!</v>
      </c>
      <c r="T26" s="73" t="e">
        <f t="shared" si="6"/>
        <v>#DIV/0!</v>
      </c>
      <c r="U26" s="73" t="e">
        <f t="shared" si="7"/>
        <v>#DIV/0!</v>
      </c>
      <c r="V26" s="73" t="e">
        <f t="shared" si="8"/>
        <v>#DIV/0!</v>
      </c>
    </row>
    <row r="27" spans="2:22" ht="14.25" customHeight="1" x14ac:dyDescent="0.2">
      <c r="B27" s="96" t="s">
        <v>113</v>
      </c>
      <c r="C27" s="11" t="s">
        <v>107</v>
      </c>
      <c r="D27" s="11">
        <v>7</v>
      </c>
      <c r="E27" s="96" t="str">
        <f t="shared" si="0"/>
        <v>Copper</v>
      </c>
      <c r="F27" s="56">
        <v>168</v>
      </c>
      <c r="G27" s="100">
        <v>8.7449432849884001</v>
      </c>
      <c r="H27" s="100">
        <v>264.49955718994102</v>
      </c>
      <c r="I27" s="100">
        <v>1.09317025745744E-3</v>
      </c>
      <c r="J27" s="100">
        <v>3.3064028001584402E-2</v>
      </c>
      <c r="K27" s="54" t="e">
        <f t="shared" si="1"/>
        <v>#DIV/0!</v>
      </c>
      <c r="L27" s="54" t="e">
        <f t="shared" si="2"/>
        <v>#DIV/0!</v>
      </c>
      <c r="M27" s="54" t="e">
        <f t="shared" si="3"/>
        <v>#DIV/0!</v>
      </c>
      <c r="N27" s="54" t="e">
        <f t="shared" si="4"/>
        <v>#DIV/0!</v>
      </c>
      <c r="O27" s="199"/>
      <c r="P27" s="199"/>
      <c r="Q27" s="199"/>
      <c r="R27" s="199"/>
      <c r="S27" s="73" t="e">
        <f t="shared" si="5"/>
        <v>#DIV/0!</v>
      </c>
      <c r="T27" s="73" t="e">
        <f t="shared" si="6"/>
        <v>#DIV/0!</v>
      </c>
      <c r="U27" s="73" t="e">
        <f t="shared" si="7"/>
        <v>#DIV/0!</v>
      </c>
      <c r="V27" s="73" t="e">
        <f t="shared" si="8"/>
        <v>#DIV/0!</v>
      </c>
    </row>
    <row r="28" spans="2:22" ht="14.25" customHeight="1" x14ac:dyDescent="0.2">
      <c r="B28" s="96" t="s">
        <v>114</v>
      </c>
      <c r="C28" s="11" t="s">
        <v>115</v>
      </c>
      <c r="D28" s="11">
        <v>2</v>
      </c>
      <c r="E28" s="96" t="str">
        <f t="shared" si="0"/>
        <v>Copper</v>
      </c>
      <c r="F28" s="56">
        <v>235</v>
      </c>
      <c r="G28" s="100">
        <v>178.02411966323899</v>
      </c>
      <c r="H28" s="100">
        <v>5384.5176269531203</v>
      </c>
      <c r="I28" s="100">
        <v>3.6761182790087302E-4</v>
      </c>
      <c r="J28" s="100">
        <v>1.1118787486727E-2</v>
      </c>
      <c r="K28" s="54" t="e">
        <f t="shared" si="1"/>
        <v>#DIV/0!</v>
      </c>
      <c r="L28" s="54" t="e">
        <f t="shared" si="2"/>
        <v>#DIV/0!</v>
      </c>
      <c r="M28" s="54" t="e">
        <f t="shared" si="3"/>
        <v>#DIV/0!</v>
      </c>
      <c r="N28" s="54" t="e">
        <f t="shared" si="4"/>
        <v>#DIV/0!</v>
      </c>
      <c r="O28" s="199"/>
      <c r="P28" s="199"/>
      <c r="Q28" s="199"/>
      <c r="R28" s="199"/>
      <c r="S28" s="73" t="e">
        <f t="shared" si="5"/>
        <v>#DIV/0!</v>
      </c>
      <c r="T28" s="73" t="e">
        <f t="shared" si="6"/>
        <v>#DIV/0!</v>
      </c>
      <c r="U28" s="73" t="e">
        <f t="shared" si="7"/>
        <v>#DIV/0!</v>
      </c>
      <c r="V28" s="73" t="e">
        <f t="shared" si="8"/>
        <v>#DIV/0!</v>
      </c>
    </row>
    <row r="29" spans="2:22" ht="14.25" customHeight="1" x14ac:dyDescent="0.2">
      <c r="B29" s="96" t="s">
        <v>116</v>
      </c>
      <c r="C29" s="11" t="s">
        <v>115</v>
      </c>
      <c r="D29" s="11">
        <v>3</v>
      </c>
      <c r="E29" s="96" t="str">
        <f t="shared" si="0"/>
        <v>Copper</v>
      </c>
      <c r="F29" s="56">
        <v>175</v>
      </c>
      <c r="G29" s="100">
        <v>245.671726112366</v>
      </c>
      <c r="H29" s="100">
        <v>7430.5870251464803</v>
      </c>
      <c r="I29" s="100">
        <v>1.62021402189566E-3</v>
      </c>
      <c r="J29" s="100">
        <v>4.9004993726654601E-2</v>
      </c>
      <c r="K29" s="54" t="e">
        <f t="shared" si="1"/>
        <v>#DIV/0!</v>
      </c>
      <c r="L29" s="54" t="e">
        <f t="shared" si="2"/>
        <v>#DIV/0!</v>
      </c>
      <c r="M29" s="54" t="e">
        <f t="shared" si="3"/>
        <v>#DIV/0!</v>
      </c>
      <c r="N29" s="54" t="e">
        <f t="shared" si="4"/>
        <v>#DIV/0!</v>
      </c>
      <c r="O29" s="199"/>
      <c r="P29" s="199"/>
      <c r="Q29" s="199"/>
      <c r="R29" s="199"/>
      <c r="S29" s="73" t="e">
        <f t="shared" si="5"/>
        <v>#DIV/0!</v>
      </c>
      <c r="T29" s="73" t="e">
        <f t="shared" si="6"/>
        <v>#DIV/0!</v>
      </c>
      <c r="U29" s="73" t="e">
        <f t="shared" si="7"/>
        <v>#DIV/0!</v>
      </c>
      <c r="V29" s="73" t="e">
        <f t="shared" si="8"/>
        <v>#DIV/0!</v>
      </c>
    </row>
    <row r="30" spans="2:22" ht="14.25" customHeight="1" x14ac:dyDescent="0.2">
      <c r="B30" s="96" t="s">
        <v>117</v>
      </c>
      <c r="C30" s="11" t="s">
        <v>115</v>
      </c>
      <c r="D30" s="11">
        <v>5</v>
      </c>
      <c r="E30" s="96" t="str">
        <f t="shared" si="0"/>
        <v>Copper</v>
      </c>
      <c r="F30" s="56">
        <v>68</v>
      </c>
      <c r="G30" s="100">
        <v>414.64619766235398</v>
      </c>
      <c r="H30" s="100">
        <v>12541.3889941406</v>
      </c>
      <c r="I30" s="100">
        <v>2.21624088976872E-3</v>
      </c>
      <c r="J30" s="100">
        <v>6.7032422796667906E-2</v>
      </c>
      <c r="K30" s="54" t="e">
        <f t="shared" si="1"/>
        <v>#DIV/0!</v>
      </c>
      <c r="L30" s="54" t="e">
        <f t="shared" si="2"/>
        <v>#DIV/0!</v>
      </c>
      <c r="M30" s="54" t="e">
        <f t="shared" si="3"/>
        <v>#DIV/0!</v>
      </c>
      <c r="N30" s="54" t="e">
        <f t="shared" si="4"/>
        <v>#DIV/0!</v>
      </c>
      <c r="O30" s="199"/>
      <c r="P30" s="199"/>
      <c r="Q30" s="199"/>
      <c r="R30" s="199"/>
      <c r="S30" s="73" t="e">
        <f t="shared" si="5"/>
        <v>#DIV/0!</v>
      </c>
      <c r="T30" s="73" t="e">
        <f t="shared" si="6"/>
        <v>#DIV/0!</v>
      </c>
      <c r="U30" s="73" t="e">
        <f t="shared" si="7"/>
        <v>#DIV/0!</v>
      </c>
      <c r="V30" s="73" t="e">
        <f t="shared" si="8"/>
        <v>#DIV/0!</v>
      </c>
    </row>
    <row r="31" spans="2:22" ht="14.25" customHeight="1" x14ac:dyDescent="0.2">
      <c r="B31" s="96" t="s">
        <v>118</v>
      </c>
      <c r="C31" s="11" t="s">
        <v>115</v>
      </c>
      <c r="D31" s="11">
        <v>6</v>
      </c>
      <c r="E31" s="96" t="str">
        <f t="shared" si="0"/>
        <v>Copper</v>
      </c>
      <c r="F31" s="56">
        <v>137</v>
      </c>
      <c r="G31" s="100">
        <v>11.187347898483299</v>
      </c>
      <c r="H31" s="100">
        <v>338.37252807617199</v>
      </c>
      <c r="I31" s="100">
        <v>1.03801912031789E-3</v>
      </c>
      <c r="J31" s="100">
        <v>3.1395926562533198E-2</v>
      </c>
      <c r="K31" s="54" t="e">
        <f t="shared" si="1"/>
        <v>#DIV/0!</v>
      </c>
      <c r="L31" s="54" t="e">
        <f t="shared" si="2"/>
        <v>#DIV/0!</v>
      </c>
      <c r="M31" s="54" t="e">
        <f t="shared" si="3"/>
        <v>#DIV/0!</v>
      </c>
      <c r="N31" s="54" t="e">
        <f t="shared" si="4"/>
        <v>#DIV/0!</v>
      </c>
      <c r="O31" s="199"/>
      <c r="P31" s="199"/>
      <c r="Q31" s="199"/>
      <c r="R31" s="199"/>
      <c r="S31" s="73" t="e">
        <f t="shared" si="5"/>
        <v>#DIV/0!</v>
      </c>
      <c r="T31" s="73" t="e">
        <f t="shared" si="6"/>
        <v>#DIV/0!</v>
      </c>
      <c r="U31" s="73" t="e">
        <f t="shared" si="7"/>
        <v>#DIV/0!</v>
      </c>
      <c r="V31" s="73" t="e">
        <f t="shared" si="8"/>
        <v>#DIV/0!</v>
      </c>
    </row>
    <row r="32" spans="2:22" ht="14.25" customHeight="1" x14ac:dyDescent="0.2">
      <c r="B32" s="96" t="s">
        <v>119</v>
      </c>
      <c r="C32" s="11" t="s">
        <v>115</v>
      </c>
      <c r="D32" s="11">
        <v>11</v>
      </c>
      <c r="E32" s="96" t="str">
        <f t="shared" si="0"/>
        <v>Copper</v>
      </c>
      <c r="F32" s="56">
        <v>50</v>
      </c>
      <c r="G32" s="100">
        <v>2390.84229866028</v>
      </c>
      <c r="H32" s="100">
        <v>72313.414323730496</v>
      </c>
      <c r="I32" s="100">
        <v>1.1748993858479201E-3</v>
      </c>
      <c r="J32" s="100">
        <v>3.5536007224970197E-2</v>
      </c>
      <c r="K32" s="54" t="e">
        <f t="shared" si="1"/>
        <v>#DIV/0!</v>
      </c>
      <c r="L32" s="54" t="e">
        <f t="shared" si="2"/>
        <v>#DIV/0!</v>
      </c>
      <c r="M32" s="54" t="e">
        <f t="shared" si="3"/>
        <v>#DIV/0!</v>
      </c>
      <c r="N32" s="54" t="e">
        <f t="shared" si="4"/>
        <v>#DIV/0!</v>
      </c>
      <c r="O32" s="199"/>
      <c r="P32" s="199"/>
      <c r="Q32" s="199"/>
      <c r="R32" s="199"/>
      <c r="S32" s="73" t="e">
        <f t="shared" si="5"/>
        <v>#DIV/0!</v>
      </c>
      <c r="T32" s="73" t="e">
        <f t="shared" si="6"/>
        <v>#DIV/0!</v>
      </c>
      <c r="U32" s="73" t="e">
        <f t="shared" si="7"/>
        <v>#DIV/0!</v>
      </c>
      <c r="V32" s="73" t="e">
        <f t="shared" si="8"/>
        <v>#DIV/0!</v>
      </c>
    </row>
    <row r="33" spans="2:22" ht="14.25" customHeight="1" x14ac:dyDescent="0.2">
      <c r="B33" s="96" t="s">
        <v>120</v>
      </c>
      <c r="C33" s="11" t="s">
        <v>115</v>
      </c>
      <c r="D33" s="11">
        <v>12</v>
      </c>
      <c r="E33" s="96" t="str">
        <f t="shared" si="0"/>
        <v>Copper</v>
      </c>
      <c r="F33" s="56">
        <v>1000</v>
      </c>
      <c r="G33" s="100">
        <v>95.882585067749005</v>
      </c>
      <c r="H33" s="100">
        <v>2900.06467407227</v>
      </c>
      <c r="I33" s="100">
        <v>9.3566021910798203E-4</v>
      </c>
      <c r="J33" s="100">
        <v>2.8299979318010898E-2</v>
      </c>
      <c r="K33" s="54" t="e">
        <f t="shared" si="1"/>
        <v>#DIV/0!</v>
      </c>
      <c r="L33" s="54" t="e">
        <f t="shared" si="2"/>
        <v>#DIV/0!</v>
      </c>
      <c r="M33" s="54" t="e">
        <f t="shared" si="3"/>
        <v>#DIV/0!</v>
      </c>
      <c r="N33" s="54" t="e">
        <f t="shared" si="4"/>
        <v>#DIV/0!</v>
      </c>
      <c r="O33" s="199"/>
      <c r="P33" s="199"/>
      <c r="Q33" s="199"/>
      <c r="R33" s="199"/>
      <c r="S33" s="73" t="e">
        <f t="shared" si="5"/>
        <v>#DIV/0!</v>
      </c>
      <c r="T33" s="73" t="e">
        <f t="shared" si="6"/>
        <v>#DIV/0!</v>
      </c>
      <c r="U33" s="73" t="e">
        <f t="shared" si="7"/>
        <v>#DIV/0!</v>
      </c>
      <c r="V33" s="73" t="e">
        <f t="shared" si="8"/>
        <v>#DIV/0!</v>
      </c>
    </row>
    <row r="34" spans="2:22" ht="14.25" customHeight="1" x14ac:dyDescent="0.2">
      <c r="B34" s="96" t="s">
        <v>121</v>
      </c>
      <c r="C34" s="11" t="s">
        <v>12</v>
      </c>
      <c r="D34" s="11" t="s">
        <v>122</v>
      </c>
      <c r="E34" s="96" t="str">
        <f t="shared" si="0"/>
        <v>Copper</v>
      </c>
      <c r="F34" s="56">
        <v>150</v>
      </c>
      <c r="G34" s="100">
        <v>49.210551023483298</v>
      </c>
      <c r="H34" s="100">
        <v>1488.4223274230999</v>
      </c>
      <c r="I34" s="100">
        <v>5.3681244387310803E-3</v>
      </c>
      <c r="J34" s="100">
        <v>0.16236429365817501</v>
      </c>
      <c r="K34" s="54" t="e">
        <f t="shared" si="1"/>
        <v>#DIV/0!</v>
      </c>
      <c r="L34" s="54" t="e">
        <f t="shared" si="2"/>
        <v>#DIV/0!</v>
      </c>
      <c r="M34" s="54" t="e">
        <f t="shared" si="3"/>
        <v>#DIV/0!</v>
      </c>
      <c r="N34" s="54" t="e">
        <f t="shared" si="4"/>
        <v>#DIV/0!</v>
      </c>
      <c r="O34" s="199"/>
      <c r="P34" s="199"/>
      <c r="Q34" s="199"/>
      <c r="R34" s="199"/>
      <c r="S34" s="73" t="e">
        <f t="shared" si="5"/>
        <v>#DIV/0!</v>
      </c>
      <c r="T34" s="73" t="e">
        <f t="shared" si="6"/>
        <v>#DIV/0!</v>
      </c>
      <c r="U34" s="73" t="e">
        <f t="shared" si="7"/>
        <v>#DIV/0!</v>
      </c>
      <c r="V34" s="73" t="e">
        <f t="shared" si="8"/>
        <v>#DIV/0!</v>
      </c>
    </row>
    <row r="35" spans="2:22" ht="14.25" customHeight="1" x14ac:dyDescent="0.2">
      <c r="B35" s="96" t="s">
        <v>123</v>
      </c>
      <c r="C35" s="11" t="s">
        <v>12</v>
      </c>
      <c r="D35" s="11" t="s">
        <v>124</v>
      </c>
      <c r="E35" s="96" t="str">
        <f t="shared" si="0"/>
        <v>Copper</v>
      </c>
      <c r="F35" s="56">
        <v>147</v>
      </c>
      <c r="G35" s="100">
        <v>3.02925816982984</v>
      </c>
      <c r="H35" s="100">
        <v>91.622943239212006</v>
      </c>
      <c r="I35" s="100">
        <v>9.9943594926662897E-4</v>
      </c>
      <c r="J35" s="100">
        <v>3.0228939999342501E-2</v>
      </c>
      <c r="K35" s="54" t="e">
        <f t="shared" si="1"/>
        <v>#DIV/0!</v>
      </c>
      <c r="L35" s="54" t="e">
        <f t="shared" si="2"/>
        <v>#DIV/0!</v>
      </c>
      <c r="M35" s="54" t="e">
        <f t="shared" si="3"/>
        <v>#DIV/0!</v>
      </c>
      <c r="N35" s="54" t="e">
        <f t="shared" si="4"/>
        <v>#DIV/0!</v>
      </c>
      <c r="O35" s="199"/>
      <c r="P35" s="199"/>
      <c r="Q35" s="199"/>
      <c r="R35" s="199"/>
      <c r="S35" s="73" t="e">
        <f t="shared" si="5"/>
        <v>#DIV/0!</v>
      </c>
      <c r="T35" s="73" t="e">
        <f t="shared" si="6"/>
        <v>#DIV/0!</v>
      </c>
      <c r="U35" s="73" t="e">
        <f t="shared" si="7"/>
        <v>#DIV/0!</v>
      </c>
      <c r="V35" s="73" t="e">
        <f t="shared" si="8"/>
        <v>#DIV/0!</v>
      </c>
    </row>
    <row r="36" spans="2:22" ht="14.25" customHeight="1" x14ac:dyDescent="0.2">
      <c r="B36" s="96" t="s">
        <v>125</v>
      </c>
      <c r="C36" s="11" t="s">
        <v>12</v>
      </c>
      <c r="D36" s="11" t="s">
        <v>126</v>
      </c>
      <c r="E36" s="96" t="str">
        <f t="shared" si="0"/>
        <v>Copper</v>
      </c>
      <c r="F36" s="56">
        <v>379</v>
      </c>
      <c r="G36" s="100">
        <v>2.6780979597568502</v>
      </c>
      <c r="H36" s="100">
        <v>81.001751594543506</v>
      </c>
      <c r="I36" s="100">
        <v>5.2152586420675098E-4</v>
      </c>
      <c r="J36" s="100">
        <v>1.5774071460182299E-2</v>
      </c>
      <c r="K36" s="54" t="e">
        <f t="shared" si="1"/>
        <v>#DIV/0!</v>
      </c>
      <c r="L36" s="54" t="e">
        <f t="shared" si="2"/>
        <v>#DIV/0!</v>
      </c>
      <c r="M36" s="54" t="e">
        <f t="shared" si="3"/>
        <v>#DIV/0!</v>
      </c>
      <c r="N36" s="54" t="e">
        <f t="shared" si="4"/>
        <v>#DIV/0!</v>
      </c>
      <c r="O36" s="199"/>
      <c r="P36" s="199"/>
      <c r="Q36" s="199"/>
      <c r="R36" s="199"/>
      <c r="S36" s="73" t="e">
        <f t="shared" si="5"/>
        <v>#DIV/0!</v>
      </c>
      <c r="T36" s="73" t="e">
        <f t="shared" si="6"/>
        <v>#DIV/0!</v>
      </c>
      <c r="U36" s="73" t="e">
        <f t="shared" si="7"/>
        <v>#DIV/0!</v>
      </c>
      <c r="V36" s="73" t="e">
        <f t="shared" si="8"/>
        <v>#DIV/0!</v>
      </c>
    </row>
    <row r="37" spans="2:22" ht="14.25" customHeight="1" x14ac:dyDescent="0.2">
      <c r="B37" s="96" t="s">
        <v>127</v>
      </c>
      <c r="C37" s="11" t="s">
        <v>12</v>
      </c>
      <c r="D37" s="11" t="s">
        <v>128</v>
      </c>
      <c r="E37" s="96" t="str">
        <f t="shared" si="0"/>
        <v>Copper</v>
      </c>
      <c r="F37" s="56">
        <v>1550</v>
      </c>
      <c r="G37" s="100">
        <v>6.4054385298490502</v>
      </c>
      <c r="H37" s="100">
        <v>193.73889524459801</v>
      </c>
      <c r="I37" s="100">
        <v>6.4670625888083998E-4</v>
      </c>
      <c r="J37" s="100">
        <v>1.95602776468028E-2</v>
      </c>
      <c r="K37" s="54" t="e">
        <f t="shared" si="1"/>
        <v>#DIV/0!</v>
      </c>
      <c r="L37" s="54" t="e">
        <f t="shared" si="2"/>
        <v>#DIV/0!</v>
      </c>
      <c r="M37" s="54" t="e">
        <f t="shared" si="3"/>
        <v>#DIV/0!</v>
      </c>
      <c r="N37" s="54" t="e">
        <f t="shared" si="4"/>
        <v>#DIV/0!</v>
      </c>
      <c r="O37" s="199"/>
      <c r="P37" s="199"/>
      <c r="Q37" s="199"/>
      <c r="R37" s="199"/>
      <c r="S37" s="73" t="e">
        <f t="shared" si="5"/>
        <v>#DIV/0!</v>
      </c>
      <c r="T37" s="73" t="e">
        <f t="shared" si="6"/>
        <v>#DIV/0!</v>
      </c>
      <c r="U37" s="73" t="e">
        <f t="shared" si="7"/>
        <v>#DIV/0!</v>
      </c>
      <c r="V37" s="73" t="e">
        <f t="shared" si="8"/>
        <v>#DIV/0!</v>
      </c>
    </row>
    <row r="38" spans="2:22" ht="14.25" customHeight="1" x14ac:dyDescent="0.2">
      <c r="B38" s="96" t="s">
        <v>129</v>
      </c>
      <c r="C38" s="11" t="s">
        <v>12</v>
      </c>
      <c r="D38" s="11" t="s">
        <v>130</v>
      </c>
      <c r="E38" s="96" t="str">
        <f t="shared" si="0"/>
        <v>Copper</v>
      </c>
      <c r="F38" s="56">
        <v>376</v>
      </c>
      <c r="G38" s="100">
        <v>1.02786403417587</v>
      </c>
      <c r="H38" s="100">
        <v>31.088775787353502</v>
      </c>
      <c r="I38" s="100">
        <v>1.1834472064261601E-4</v>
      </c>
      <c r="J38" s="100">
        <v>3.5794544616436301E-3</v>
      </c>
      <c r="K38" s="54" t="e">
        <f t="shared" si="1"/>
        <v>#DIV/0!</v>
      </c>
      <c r="L38" s="54" t="e">
        <f t="shared" si="2"/>
        <v>#DIV/0!</v>
      </c>
      <c r="M38" s="54" t="e">
        <f t="shared" si="3"/>
        <v>#DIV/0!</v>
      </c>
      <c r="N38" s="54" t="e">
        <f t="shared" si="4"/>
        <v>#DIV/0!</v>
      </c>
      <c r="O38" s="199"/>
      <c r="P38" s="199"/>
      <c r="Q38" s="199"/>
      <c r="R38" s="199"/>
      <c r="S38" s="73" t="e">
        <f t="shared" si="5"/>
        <v>#DIV/0!</v>
      </c>
      <c r="T38" s="73" t="e">
        <f t="shared" si="6"/>
        <v>#DIV/0!</v>
      </c>
      <c r="U38" s="73" t="e">
        <f t="shared" si="7"/>
        <v>#DIV/0!</v>
      </c>
      <c r="V38" s="73" t="e">
        <f t="shared" si="8"/>
        <v>#DIV/0!</v>
      </c>
    </row>
    <row r="39" spans="2:22" ht="14.25" customHeight="1" x14ac:dyDescent="0.2">
      <c r="B39" s="96" t="s">
        <v>131</v>
      </c>
      <c r="C39" s="11" t="s">
        <v>12</v>
      </c>
      <c r="D39" s="11" t="s">
        <v>132</v>
      </c>
      <c r="E39" s="96" t="str">
        <f t="shared" si="0"/>
        <v>Copper</v>
      </c>
      <c r="F39" s="56">
        <v>627</v>
      </c>
      <c r="G39" s="100">
        <v>0.207997067049146</v>
      </c>
      <c r="H39" s="100">
        <v>6.2910793238878204</v>
      </c>
      <c r="I39" s="100">
        <v>3.8618520281493199E-4</v>
      </c>
      <c r="J39" s="100">
        <v>1.1680557795657701E-2</v>
      </c>
      <c r="K39" s="54" t="e">
        <f t="shared" si="1"/>
        <v>#DIV/0!</v>
      </c>
      <c r="L39" s="54" t="e">
        <f t="shared" si="2"/>
        <v>#DIV/0!</v>
      </c>
      <c r="M39" s="54" t="e">
        <f t="shared" si="3"/>
        <v>#DIV/0!</v>
      </c>
      <c r="N39" s="54" t="e">
        <f t="shared" si="4"/>
        <v>#DIV/0!</v>
      </c>
      <c r="O39" s="199"/>
      <c r="P39" s="199"/>
      <c r="Q39" s="199"/>
      <c r="R39" s="199"/>
      <c r="S39" s="73" t="e">
        <f t="shared" si="5"/>
        <v>#DIV/0!</v>
      </c>
      <c r="T39" s="73" t="e">
        <f t="shared" si="6"/>
        <v>#DIV/0!</v>
      </c>
      <c r="U39" s="73" t="e">
        <f t="shared" si="7"/>
        <v>#DIV/0!</v>
      </c>
      <c r="V39" s="73" t="e">
        <f t="shared" si="8"/>
        <v>#DIV/0!</v>
      </c>
    </row>
    <row r="40" spans="2:22" ht="14.25" customHeight="1" x14ac:dyDescent="0.2">
      <c r="B40" s="96" t="s">
        <v>133</v>
      </c>
      <c r="C40" s="11" t="s">
        <v>12</v>
      </c>
      <c r="D40" s="11" t="s">
        <v>134</v>
      </c>
      <c r="E40" s="96" t="str">
        <f t="shared" si="0"/>
        <v>Copper</v>
      </c>
      <c r="F40" s="56">
        <v>80</v>
      </c>
      <c r="G40" s="100">
        <v>5.7411831963062303</v>
      </c>
      <c r="H40" s="100">
        <v>173.64782865524299</v>
      </c>
      <c r="I40" s="100">
        <v>5.3696367336669897E-3</v>
      </c>
      <c r="J40" s="100">
        <v>0.16241003367273801</v>
      </c>
      <c r="K40" s="54" t="e">
        <f t="shared" si="1"/>
        <v>#DIV/0!</v>
      </c>
      <c r="L40" s="54" t="e">
        <f t="shared" si="2"/>
        <v>#DIV/0!</v>
      </c>
      <c r="M40" s="54" t="e">
        <f t="shared" si="3"/>
        <v>#DIV/0!</v>
      </c>
      <c r="N40" s="54" t="e">
        <f t="shared" si="4"/>
        <v>#DIV/0!</v>
      </c>
      <c r="O40" s="199"/>
      <c r="P40" s="199"/>
      <c r="Q40" s="199"/>
      <c r="R40" s="199"/>
      <c r="S40" s="73" t="e">
        <f t="shared" si="5"/>
        <v>#DIV/0!</v>
      </c>
      <c r="T40" s="73" t="e">
        <f t="shared" si="6"/>
        <v>#DIV/0!</v>
      </c>
      <c r="U40" s="73" t="e">
        <f t="shared" si="7"/>
        <v>#DIV/0!</v>
      </c>
      <c r="V40" s="73" t="e">
        <f t="shared" si="8"/>
        <v>#DIV/0!</v>
      </c>
    </row>
    <row r="41" spans="2:22" ht="14.25" customHeight="1" x14ac:dyDescent="0.2">
      <c r="B41" s="96" t="s">
        <v>135</v>
      </c>
      <c r="C41" s="11" t="s">
        <v>12</v>
      </c>
      <c r="D41" s="11" t="s">
        <v>136</v>
      </c>
      <c r="E41" s="96" t="str">
        <f t="shared" si="0"/>
        <v>Copper</v>
      </c>
      <c r="F41" s="56">
        <v>116</v>
      </c>
      <c r="G41" s="100">
        <v>6.3629436707496598</v>
      </c>
      <c r="H41" s="100">
        <v>192.453596687317</v>
      </c>
      <c r="I41" s="100">
        <v>7.7579277476638796E-4</v>
      </c>
      <c r="J41" s="100">
        <v>2.3464628444184701E-2</v>
      </c>
      <c r="K41" s="54" t="e">
        <f t="shared" si="1"/>
        <v>#DIV/0!</v>
      </c>
      <c r="L41" s="54" t="e">
        <f t="shared" si="2"/>
        <v>#DIV/0!</v>
      </c>
      <c r="M41" s="54" t="e">
        <f t="shared" si="3"/>
        <v>#DIV/0!</v>
      </c>
      <c r="N41" s="54" t="e">
        <f t="shared" si="4"/>
        <v>#DIV/0!</v>
      </c>
      <c r="O41" s="199"/>
      <c r="P41" s="199"/>
      <c r="Q41" s="199"/>
      <c r="R41" s="199"/>
      <c r="S41" s="73" t="e">
        <f t="shared" si="5"/>
        <v>#DIV/0!</v>
      </c>
      <c r="T41" s="73" t="e">
        <f t="shared" si="6"/>
        <v>#DIV/0!</v>
      </c>
      <c r="U41" s="73" t="e">
        <f t="shared" si="7"/>
        <v>#DIV/0!</v>
      </c>
      <c r="V41" s="73" t="e">
        <f t="shared" si="8"/>
        <v>#DIV/0!</v>
      </c>
    </row>
    <row r="42" spans="2:22" ht="14.25" customHeight="1" x14ac:dyDescent="0.2">
      <c r="B42" s="96" t="s">
        <v>137</v>
      </c>
      <c r="C42" s="11" t="s">
        <v>12</v>
      </c>
      <c r="D42" s="11" t="s">
        <v>138</v>
      </c>
      <c r="E42" s="96" t="str">
        <f t="shared" si="0"/>
        <v>Copper</v>
      </c>
      <c r="F42" s="56">
        <v>80</v>
      </c>
      <c r="G42" s="100">
        <v>41.000412364006003</v>
      </c>
      <c r="H42" s="100">
        <v>1240.0984765625001</v>
      </c>
      <c r="I42" s="100">
        <v>7.8323820329872697E-3</v>
      </c>
      <c r="J42" s="100">
        <v>0.236898229812117</v>
      </c>
      <c r="K42" s="54" t="e">
        <f t="shared" si="1"/>
        <v>#DIV/0!</v>
      </c>
      <c r="L42" s="54" t="e">
        <f t="shared" si="2"/>
        <v>#DIV/0!</v>
      </c>
      <c r="M42" s="54" t="e">
        <f t="shared" si="3"/>
        <v>#DIV/0!</v>
      </c>
      <c r="N42" s="54" t="e">
        <f t="shared" si="4"/>
        <v>#DIV/0!</v>
      </c>
      <c r="O42" s="199"/>
      <c r="P42" s="199"/>
      <c r="Q42" s="199"/>
      <c r="R42" s="199"/>
      <c r="S42" s="73" t="e">
        <f t="shared" si="5"/>
        <v>#DIV/0!</v>
      </c>
      <c r="T42" s="73" t="e">
        <f t="shared" si="6"/>
        <v>#DIV/0!</v>
      </c>
      <c r="U42" s="73" t="e">
        <f t="shared" si="7"/>
        <v>#DIV/0!</v>
      </c>
      <c r="V42" s="73" t="e">
        <f t="shared" si="8"/>
        <v>#DIV/0!</v>
      </c>
    </row>
    <row r="43" spans="2:22" ht="14.25" customHeight="1" x14ac:dyDescent="0.2">
      <c r="B43" s="96" t="s">
        <v>139</v>
      </c>
      <c r="C43" s="11" t="s">
        <v>12</v>
      </c>
      <c r="D43" s="11" t="s">
        <v>140</v>
      </c>
      <c r="E43" s="96" t="str">
        <f t="shared" si="0"/>
        <v>Copper</v>
      </c>
      <c r="F43" s="56">
        <v>12</v>
      </c>
      <c r="G43" s="100">
        <v>3.7488256210088702</v>
      </c>
      <c r="H43" s="100">
        <v>113.386980724335</v>
      </c>
      <c r="I43" s="100">
        <v>5.95532186765922E-3</v>
      </c>
      <c r="J43" s="100">
        <v>0.18012466666754301</v>
      </c>
      <c r="K43" s="54" t="e">
        <f t="shared" si="1"/>
        <v>#DIV/0!</v>
      </c>
      <c r="L43" s="54" t="e">
        <f t="shared" si="2"/>
        <v>#DIV/0!</v>
      </c>
      <c r="M43" s="54" t="e">
        <f t="shared" si="3"/>
        <v>#DIV/0!</v>
      </c>
      <c r="N43" s="54" t="e">
        <f t="shared" si="4"/>
        <v>#DIV/0!</v>
      </c>
      <c r="O43" s="199"/>
      <c r="P43" s="199"/>
      <c r="Q43" s="199"/>
      <c r="R43" s="199"/>
      <c r="S43" s="73" t="e">
        <f t="shared" si="5"/>
        <v>#DIV/0!</v>
      </c>
      <c r="T43" s="73" t="e">
        <f t="shared" si="6"/>
        <v>#DIV/0!</v>
      </c>
      <c r="U43" s="73" t="e">
        <f t="shared" si="7"/>
        <v>#DIV/0!</v>
      </c>
      <c r="V43" s="73" t="e">
        <f t="shared" si="8"/>
        <v>#DIV/0!</v>
      </c>
    </row>
    <row r="44" spans="2:22" ht="14.25" customHeight="1" x14ac:dyDescent="0.2">
      <c r="B44" s="96" t="s">
        <v>141</v>
      </c>
      <c r="C44" s="11" t="s">
        <v>13</v>
      </c>
      <c r="D44" s="11">
        <v>1</v>
      </c>
      <c r="E44" s="96" t="str">
        <f t="shared" si="0"/>
        <v>Copper</v>
      </c>
      <c r="F44" s="56">
        <v>200</v>
      </c>
      <c r="G44" s="100">
        <v>35.892174825668299</v>
      </c>
      <c r="H44" s="100">
        <v>1085.5947329711901</v>
      </c>
      <c r="I44" s="100">
        <v>3.1086143235734198E-3</v>
      </c>
      <c r="J44" s="100">
        <v>9.4023149527298899E-2</v>
      </c>
      <c r="K44" s="54" t="e">
        <f t="shared" si="1"/>
        <v>#DIV/0!</v>
      </c>
      <c r="L44" s="54" t="e">
        <f t="shared" si="2"/>
        <v>#DIV/0!</v>
      </c>
      <c r="M44" s="54" t="e">
        <f t="shared" si="3"/>
        <v>#DIV/0!</v>
      </c>
      <c r="N44" s="54" t="e">
        <f t="shared" si="4"/>
        <v>#DIV/0!</v>
      </c>
      <c r="O44" s="199"/>
      <c r="P44" s="199"/>
      <c r="Q44" s="199"/>
      <c r="R44" s="199"/>
      <c r="S44" s="73" t="e">
        <f t="shared" si="5"/>
        <v>#DIV/0!</v>
      </c>
      <c r="T44" s="73" t="e">
        <f t="shared" si="6"/>
        <v>#DIV/0!</v>
      </c>
      <c r="U44" s="73" t="e">
        <f t="shared" si="7"/>
        <v>#DIV/0!</v>
      </c>
      <c r="V44" s="73" t="e">
        <f t="shared" si="8"/>
        <v>#DIV/0!</v>
      </c>
    </row>
    <row r="45" spans="2:22" ht="14.25" customHeight="1" x14ac:dyDescent="0.2">
      <c r="B45" s="96" t="s">
        <v>142</v>
      </c>
      <c r="C45" s="11" t="s">
        <v>13</v>
      </c>
      <c r="D45" s="11">
        <v>3</v>
      </c>
      <c r="E45" s="96" t="str">
        <f t="shared" si="0"/>
        <v>Copper</v>
      </c>
      <c r="F45" s="56">
        <v>60</v>
      </c>
      <c r="G45" s="100">
        <v>68.260847759246801</v>
      </c>
      <c r="H45" s="100">
        <v>2064.6176068115201</v>
      </c>
      <c r="I45" s="100">
        <v>1.7464845414118201E-3</v>
      </c>
      <c r="J45" s="100">
        <v>5.2824171813360098E-2</v>
      </c>
      <c r="K45" s="54" t="e">
        <f t="shared" si="1"/>
        <v>#DIV/0!</v>
      </c>
      <c r="L45" s="54" t="e">
        <f t="shared" si="2"/>
        <v>#DIV/0!</v>
      </c>
      <c r="M45" s="54" t="e">
        <f t="shared" si="3"/>
        <v>#DIV/0!</v>
      </c>
      <c r="N45" s="54" t="e">
        <f t="shared" si="4"/>
        <v>#DIV/0!</v>
      </c>
      <c r="O45" s="199"/>
      <c r="P45" s="199"/>
      <c r="Q45" s="199"/>
      <c r="R45" s="199"/>
      <c r="S45" s="73" t="e">
        <f t="shared" si="5"/>
        <v>#DIV/0!</v>
      </c>
      <c r="T45" s="73" t="e">
        <f t="shared" si="6"/>
        <v>#DIV/0!</v>
      </c>
      <c r="U45" s="73" t="e">
        <f t="shared" si="7"/>
        <v>#DIV/0!</v>
      </c>
      <c r="V45" s="73" t="e">
        <f t="shared" si="8"/>
        <v>#DIV/0!</v>
      </c>
    </row>
    <row r="46" spans="2:22" ht="14.25" customHeight="1" x14ac:dyDescent="0.2">
      <c r="B46" s="96" t="s">
        <v>143</v>
      </c>
      <c r="C46" s="11" t="s">
        <v>13</v>
      </c>
      <c r="D46" s="11">
        <v>4</v>
      </c>
      <c r="E46" s="96" t="str">
        <f t="shared" si="0"/>
        <v>Copper</v>
      </c>
      <c r="F46" s="56">
        <v>300</v>
      </c>
      <c r="G46" s="100">
        <v>37.014766921997101</v>
      </c>
      <c r="H46" s="100">
        <v>1119.54865356445</v>
      </c>
      <c r="I46" s="100">
        <v>8.10106319636361E-4</v>
      </c>
      <c r="J46" s="100">
        <v>2.4502475959404101E-2</v>
      </c>
      <c r="K46" s="54" t="e">
        <f t="shared" si="1"/>
        <v>#DIV/0!</v>
      </c>
      <c r="L46" s="54" t="e">
        <f t="shared" si="2"/>
        <v>#DIV/0!</v>
      </c>
      <c r="M46" s="54" t="e">
        <f t="shared" si="3"/>
        <v>#DIV/0!</v>
      </c>
      <c r="N46" s="54" t="e">
        <f t="shared" si="4"/>
        <v>#DIV/0!</v>
      </c>
      <c r="O46" s="199"/>
      <c r="P46" s="199"/>
      <c r="Q46" s="199"/>
      <c r="R46" s="199"/>
      <c r="S46" s="73" t="e">
        <f t="shared" si="5"/>
        <v>#DIV/0!</v>
      </c>
      <c r="T46" s="73" t="e">
        <f t="shared" si="6"/>
        <v>#DIV/0!</v>
      </c>
      <c r="U46" s="73" t="e">
        <f t="shared" si="7"/>
        <v>#DIV/0!</v>
      </c>
      <c r="V46" s="73" t="e">
        <f t="shared" si="8"/>
        <v>#DIV/0!</v>
      </c>
    </row>
    <row r="47" spans="2:22" ht="14.25" customHeight="1" x14ac:dyDescent="0.2">
      <c r="B47" s="96" t="s">
        <v>144</v>
      </c>
      <c r="C47" s="11" t="s">
        <v>13</v>
      </c>
      <c r="D47" s="11">
        <v>6</v>
      </c>
      <c r="E47" s="96" t="str">
        <f t="shared" si="0"/>
        <v>Copper</v>
      </c>
      <c r="F47" s="56">
        <v>350</v>
      </c>
      <c r="G47" s="100">
        <v>15.967641687393201</v>
      </c>
      <c r="H47" s="100">
        <v>482.957296447754</v>
      </c>
      <c r="I47" s="100">
        <v>1.7129557795730499E-3</v>
      </c>
      <c r="J47" s="100">
        <v>5.1810061084300599E-2</v>
      </c>
      <c r="K47" s="54" t="e">
        <f t="shared" si="1"/>
        <v>#DIV/0!</v>
      </c>
      <c r="L47" s="54" t="e">
        <f t="shared" si="2"/>
        <v>#DIV/0!</v>
      </c>
      <c r="M47" s="54" t="e">
        <f t="shared" si="3"/>
        <v>#DIV/0!</v>
      </c>
      <c r="N47" s="54" t="e">
        <f t="shared" si="4"/>
        <v>#DIV/0!</v>
      </c>
      <c r="O47" s="199"/>
      <c r="P47" s="199"/>
      <c r="Q47" s="199"/>
      <c r="R47" s="199"/>
      <c r="S47" s="73" t="e">
        <f t="shared" si="5"/>
        <v>#DIV/0!</v>
      </c>
      <c r="T47" s="73" t="e">
        <f t="shared" si="6"/>
        <v>#DIV/0!</v>
      </c>
      <c r="U47" s="73" t="e">
        <f t="shared" si="7"/>
        <v>#DIV/0!</v>
      </c>
      <c r="V47" s="73" t="e">
        <f t="shared" si="8"/>
        <v>#DIV/0!</v>
      </c>
    </row>
    <row r="48" spans="2:22" ht="14.25" customHeight="1" x14ac:dyDescent="0.2">
      <c r="B48" s="96" t="s">
        <v>145</v>
      </c>
      <c r="C48" s="11" t="s">
        <v>13</v>
      </c>
      <c r="D48" s="11">
        <v>7</v>
      </c>
      <c r="E48" s="96" t="str">
        <f t="shared" si="0"/>
        <v>Copper</v>
      </c>
      <c r="F48" s="56">
        <v>70</v>
      </c>
      <c r="G48" s="100">
        <v>46.373133354186997</v>
      </c>
      <c r="H48" s="100">
        <v>1402.6018090820301</v>
      </c>
      <c r="I48" s="100">
        <v>2.01892665088356E-3</v>
      </c>
      <c r="J48" s="100">
        <v>6.1064455916251398E-2</v>
      </c>
      <c r="K48" s="54" t="e">
        <f t="shared" si="1"/>
        <v>#DIV/0!</v>
      </c>
      <c r="L48" s="54" t="e">
        <f t="shared" si="2"/>
        <v>#DIV/0!</v>
      </c>
      <c r="M48" s="54" t="e">
        <f t="shared" si="3"/>
        <v>#DIV/0!</v>
      </c>
      <c r="N48" s="54" t="e">
        <f t="shared" si="4"/>
        <v>#DIV/0!</v>
      </c>
      <c r="O48" s="199"/>
      <c r="P48" s="199"/>
      <c r="Q48" s="199"/>
      <c r="R48" s="199"/>
      <c r="S48" s="73" t="e">
        <f t="shared" si="5"/>
        <v>#DIV/0!</v>
      </c>
      <c r="T48" s="73" t="e">
        <f t="shared" si="6"/>
        <v>#DIV/0!</v>
      </c>
      <c r="U48" s="73" t="e">
        <f t="shared" si="7"/>
        <v>#DIV/0!</v>
      </c>
      <c r="V48" s="73" t="e">
        <f t="shared" si="8"/>
        <v>#DIV/0!</v>
      </c>
    </row>
    <row r="49" spans="2:22" ht="14.25" customHeight="1" x14ac:dyDescent="0.2">
      <c r="B49" s="96" t="s">
        <v>146</v>
      </c>
      <c r="C49" s="11" t="s">
        <v>13</v>
      </c>
      <c r="D49" s="11">
        <v>8</v>
      </c>
      <c r="E49" s="96" t="str">
        <f t="shared" si="0"/>
        <v>Copper</v>
      </c>
      <c r="F49" s="56">
        <v>600</v>
      </c>
      <c r="G49" s="100">
        <v>6.7249746227264398</v>
      </c>
      <c r="H49" s="100">
        <v>203.40358436584501</v>
      </c>
      <c r="I49" s="100">
        <v>9.60761133698032E-4</v>
      </c>
      <c r="J49" s="100">
        <v>2.9059181590448999E-2</v>
      </c>
      <c r="K49" s="54" t="e">
        <f t="shared" si="1"/>
        <v>#DIV/0!</v>
      </c>
      <c r="L49" s="54" t="e">
        <f t="shared" si="2"/>
        <v>#DIV/0!</v>
      </c>
      <c r="M49" s="54" t="e">
        <f t="shared" si="3"/>
        <v>#DIV/0!</v>
      </c>
      <c r="N49" s="54" t="e">
        <f t="shared" si="4"/>
        <v>#DIV/0!</v>
      </c>
      <c r="O49" s="199"/>
      <c r="P49" s="199"/>
      <c r="Q49" s="199"/>
      <c r="R49" s="199"/>
      <c r="S49" s="73" t="e">
        <f t="shared" si="5"/>
        <v>#DIV/0!</v>
      </c>
      <c r="T49" s="73" t="e">
        <f t="shared" si="6"/>
        <v>#DIV/0!</v>
      </c>
      <c r="U49" s="73" t="e">
        <f t="shared" si="7"/>
        <v>#DIV/0!</v>
      </c>
      <c r="V49" s="73" t="e">
        <f t="shared" si="8"/>
        <v>#DIV/0!</v>
      </c>
    </row>
    <row r="50" spans="2:22" ht="14.25" customHeight="1" x14ac:dyDescent="0.2">
      <c r="B50" s="96" t="s">
        <v>147</v>
      </c>
      <c r="C50" s="11" t="s">
        <v>13</v>
      </c>
      <c r="D50" s="11">
        <v>14</v>
      </c>
      <c r="E50" s="96" t="str">
        <f t="shared" si="0"/>
        <v>Copper</v>
      </c>
      <c r="F50" s="56">
        <v>200</v>
      </c>
      <c r="G50" s="100">
        <v>28.044970731735201</v>
      </c>
      <c r="H50" s="100">
        <v>848.24818756103502</v>
      </c>
      <c r="I50" s="100">
        <v>2.3387548027312701E-3</v>
      </c>
      <c r="J50" s="100">
        <v>7.0737978492785902E-2</v>
      </c>
      <c r="K50" s="54" t="e">
        <f t="shared" si="1"/>
        <v>#DIV/0!</v>
      </c>
      <c r="L50" s="54" t="e">
        <f t="shared" si="2"/>
        <v>#DIV/0!</v>
      </c>
      <c r="M50" s="54" t="e">
        <f t="shared" si="3"/>
        <v>#DIV/0!</v>
      </c>
      <c r="N50" s="54" t="e">
        <f t="shared" si="4"/>
        <v>#DIV/0!</v>
      </c>
      <c r="O50" s="199"/>
      <c r="P50" s="199"/>
      <c r="Q50" s="199"/>
      <c r="R50" s="199"/>
      <c r="S50" s="73" t="e">
        <f t="shared" si="5"/>
        <v>#DIV/0!</v>
      </c>
      <c r="T50" s="73" t="e">
        <f t="shared" si="6"/>
        <v>#DIV/0!</v>
      </c>
      <c r="U50" s="73" t="e">
        <f t="shared" si="7"/>
        <v>#DIV/0!</v>
      </c>
      <c r="V50" s="73" t="e">
        <f t="shared" si="8"/>
        <v>#DIV/0!</v>
      </c>
    </row>
    <row r="51" spans="2:22" ht="14.25" customHeight="1" x14ac:dyDescent="0.2">
      <c r="B51" s="96" t="s">
        <v>148</v>
      </c>
      <c r="C51" s="11" t="s">
        <v>13</v>
      </c>
      <c r="D51" s="11">
        <v>17</v>
      </c>
      <c r="E51" s="96" t="str">
        <f t="shared" si="0"/>
        <v>Copper</v>
      </c>
      <c r="F51" s="56">
        <v>70</v>
      </c>
      <c r="G51" s="100">
        <v>0.18850083546713001</v>
      </c>
      <c r="H51" s="100">
        <v>5.7013963288068803</v>
      </c>
      <c r="I51" s="100">
        <v>1.09328335100998E-3</v>
      </c>
      <c r="J51" s="100">
        <v>3.3067448541454297E-2</v>
      </c>
      <c r="K51" s="54" t="e">
        <f t="shared" si="1"/>
        <v>#DIV/0!</v>
      </c>
      <c r="L51" s="54" t="e">
        <f t="shared" si="2"/>
        <v>#DIV/0!</v>
      </c>
      <c r="M51" s="54" t="e">
        <f t="shared" si="3"/>
        <v>#DIV/0!</v>
      </c>
      <c r="N51" s="54" t="e">
        <f t="shared" si="4"/>
        <v>#DIV/0!</v>
      </c>
      <c r="O51" s="199"/>
      <c r="P51" s="199"/>
      <c r="Q51" s="199"/>
      <c r="R51" s="199"/>
      <c r="S51" s="73" t="e">
        <f t="shared" si="5"/>
        <v>#DIV/0!</v>
      </c>
      <c r="T51" s="73" t="e">
        <f t="shared" si="6"/>
        <v>#DIV/0!</v>
      </c>
      <c r="U51" s="73" t="e">
        <f t="shared" si="7"/>
        <v>#DIV/0!</v>
      </c>
      <c r="V51" s="73" t="e">
        <f t="shared" si="8"/>
        <v>#DIV/0!</v>
      </c>
    </row>
    <row r="52" spans="2:22" ht="14.25" customHeight="1" x14ac:dyDescent="0.2">
      <c r="B52" s="96" t="s">
        <v>149</v>
      </c>
      <c r="C52" s="11" t="s">
        <v>13</v>
      </c>
      <c r="D52" s="11">
        <v>21</v>
      </c>
      <c r="E52" s="96" t="str">
        <f t="shared" si="0"/>
        <v>Copper</v>
      </c>
      <c r="F52" s="56">
        <v>375</v>
      </c>
      <c r="G52" s="100">
        <v>5.2166181850433402</v>
      </c>
      <c r="H52" s="100">
        <v>157.78183456420899</v>
      </c>
      <c r="I52" s="100">
        <v>1.83207611138576E-3</v>
      </c>
      <c r="J52" s="100">
        <v>5.5412974684163799E-2</v>
      </c>
      <c r="K52" s="54" t="e">
        <f t="shared" si="1"/>
        <v>#DIV/0!</v>
      </c>
      <c r="L52" s="54" t="e">
        <f t="shared" si="2"/>
        <v>#DIV/0!</v>
      </c>
      <c r="M52" s="54" t="e">
        <f t="shared" si="3"/>
        <v>#DIV/0!</v>
      </c>
      <c r="N52" s="54" t="e">
        <f t="shared" si="4"/>
        <v>#DIV/0!</v>
      </c>
      <c r="O52" s="199"/>
      <c r="P52" s="199"/>
      <c r="Q52" s="199"/>
      <c r="R52" s="199"/>
      <c r="S52" s="73" t="e">
        <f t="shared" si="5"/>
        <v>#DIV/0!</v>
      </c>
      <c r="T52" s="73" t="e">
        <f t="shared" si="6"/>
        <v>#DIV/0!</v>
      </c>
      <c r="U52" s="73" t="e">
        <f t="shared" si="7"/>
        <v>#DIV/0!</v>
      </c>
      <c r="V52" s="73" t="e">
        <f t="shared" si="8"/>
        <v>#DIV/0!</v>
      </c>
    </row>
    <row r="53" spans="2:22" ht="14.25" customHeight="1" x14ac:dyDescent="0.2">
      <c r="B53" s="96" t="s">
        <v>150</v>
      </c>
      <c r="C53" s="11" t="s">
        <v>13</v>
      </c>
      <c r="D53" s="11">
        <v>26</v>
      </c>
      <c r="E53" s="96" t="str">
        <f t="shared" si="0"/>
        <v>Copper</v>
      </c>
      <c r="F53" s="56">
        <v>700</v>
      </c>
      <c r="G53" s="100">
        <v>7.0017474198341398</v>
      </c>
      <c r="H53" s="100">
        <v>211.774854202271</v>
      </c>
      <c r="I53" s="100">
        <v>3.6142553112767902E-4</v>
      </c>
      <c r="J53" s="100">
        <v>1.09316767601316E-2</v>
      </c>
      <c r="K53" s="54" t="e">
        <f t="shared" si="1"/>
        <v>#DIV/0!</v>
      </c>
      <c r="L53" s="54" t="e">
        <f t="shared" si="2"/>
        <v>#DIV/0!</v>
      </c>
      <c r="M53" s="54" t="e">
        <f t="shared" si="3"/>
        <v>#DIV/0!</v>
      </c>
      <c r="N53" s="54" t="e">
        <f t="shared" si="4"/>
        <v>#DIV/0!</v>
      </c>
      <c r="O53" s="199"/>
      <c r="P53" s="199"/>
      <c r="Q53" s="199"/>
      <c r="R53" s="199"/>
      <c r="S53" s="73" t="e">
        <f t="shared" si="5"/>
        <v>#DIV/0!</v>
      </c>
      <c r="T53" s="73" t="e">
        <f t="shared" si="6"/>
        <v>#DIV/0!</v>
      </c>
      <c r="U53" s="73" t="e">
        <f t="shared" si="7"/>
        <v>#DIV/0!</v>
      </c>
      <c r="V53" s="73" t="e">
        <f t="shared" si="8"/>
        <v>#DIV/0!</v>
      </c>
    </row>
    <row r="54" spans="2:22" ht="14.25" customHeight="1" x14ac:dyDescent="0.2">
      <c r="B54" s="96" t="s">
        <v>151</v>
      </c>
      <c r="C54" s="11" t="s">
        <v>13</v>
      </c>
      <c r="D54" s="11">
        <v>30</v>
      </c>
      <c r="E54" s="96" t="str">
        <f t="shared" si="0"/>
        <v>Copper</v>
      </c>
      <c r="F54" s="56">
        <v>320</v>
      </c>
      <c r="G54" s="100">
        <v>32.940412197112998</v>
      </c>
      <c r="H54" s="100">
        <v>996.31572875976599</v>
      </c>
      <c r="I54" s="100">
        <v>5.2800559615972598E-4</v>
      </c>
      <c r="J54" s="100">
        <v>1.5970057446367699E-2</v>
      </c>
      <c r="K54" s="54" t="e">
        <f t="shared" si="1"/>
        <v>#DIV/0!</v>
      </c>
      <c r="L54" s="54" t="e">
        <f t="shared" si="2"/>
        <v>#DIV/0!</v>
      </c>
      <c r="M54" s="54" t="e">
        <f t="shared" si="3"/>
        <v>#DIV/0!</v>
      </c>
      <c r="N54" s="54" t="e">
        <f t="shared" si="4"/>
        <v>#DIV/0!</v>
      </c>
      <c r="O54" s="199"/>
      <c r="P54" s="199"/>
      <c r="Q54" s="199"/>
      <c r="R54" s="199"/>
      <c r="S54" s="73" t="e">
        <f t="shared" si="5"/>
        <v>#DIV/0!</v>
      </c>
      <c r="T54" s="73" t="e">
        <f t="shared" si="6"/>
        <v>#DIV/0!</v>
      </c>
      <c r="U54" s="73" t="e">
        <f t="shared" si="7"/>
        <v>#DIV/0!</v>
      </c>
      <c r="V54" s="73" t="e">
        <f t="shared" si="8"/>
        <v>#DIV/0!</v>
      </c>
    </row>
    <row r="55" spans="2:22" ht="14.25" customHeight="1" x14ac:dyDescent="0.2">
      <c r="B55" s="96" t="s">
        <v>152</v>
      </c>
      <c r="C55" s="11" t="s">
        <v>13</v>
      </c>
      <c r="D55" s="11">
        <v>34</v>
      </c>
      <c r="E55" s="96" t="str">
        <f t="shared" si="0"/>
        <v>Copper</v>
      </c>
      <c r="F55" s="56">
        <v>1200</v>
      </c>
      <c r="G55" s="100">
        <v>4.4206148052215601</v>
      </c>
      <c r="H55" s="100">
        <v>133.70591697692899</v>
      </c>
      <c r="I55" s="100">
        <v>5.9788794816086001E-4</v>
      </c>
      <c r="J55" s="100">
        <v>1.8083718991159299E-2</v>
      </c>
      <c r="K55" s="54" t="e">
        <f t="shared" si="1"/>
        <v>#DIV/0!</v>
      </c>
      <c r="L55" s="54" t="e">
        <f t="shared" si="2"/>
        <v>#DIV/0!</v>
      </c>
      <c r="M55" s="54" t="e">
        <f t="shared" si="3"/>
        <v>#DIV/0!</v>
      </c>
      <c r="N55" s="54" t="e">
        <f t="shared" si="4"/>
        <v>#DIV/0!</v>
      </c>
      <c r="O55" s="199"/>
      <c r="P55" s="199"/>
      <c r="Q55" s="199"/>
      <c r="R55" s="199"/>
      <c r="S55" s="73" t="e">
        <f t="shared" si="5"/>
        <v>#DIV/0!</v>
      </c>
      <c r="T55" s="73" t="e">
        <f t="shared" si="6"/>
        <v>#DIV/0!</v>
      </c>
      <c r="U55" s="73" t="e">
        <f t="shared" si="7"/>
        <v>#DIV/0!</v>
      </c>
      <c r="V55" s="73" t="e">
        <f t="shared" si="8"/>
        <v>#DIV/0!</v>
      </c>
    </row>
    <row r="56" spans="2:22" ht="14.25" customHeight="1" x14ac:dyDescent="0.2">
      <c r="B56" s="96" t="s">
        <v>153</v>
      </c>
      <c r="C56" s="11" t="s">
        <v>13</v>
      </c>
      <c r="D56" s="11">
        <v>40</v>
      </c>
      <c r="E56" s="96" t="str">
        <f t="shared" si="0"/>
        <v>Copper</v>
      </c>
      <c r="F56" s="56">
        <v>200</v>
      </c>
      <c r="G56" s="100">
        <v>1.74964642167091</v>
      </c>
      <c r="H56" s="100">
        <v>52.9198060417175</v>
      </c>
      <c r="I56" s="100">
        <v>2.78950353551142E-3</v>
      </c>
      <c r="J56" s="100">
        <v>8.4371324677068205E-2</v>
      </c>
      <c r="K56" s="54" t="e">
        <f t="shared" si="1"/>
        <v>#DIV/0!</v>
      </c>
      <c r="L56" s="54" t="e">
        <f t="shared" si="2"/>
        <v>#DIV/0!</v>
      </c>
      <c r="M56" s="54" t="e">
        <f t="shared" si="3"/>
        <v>#DIV/0!</v>
      </c>
      <c r="N56" s="54" t="e">
        <f t="shared" si="4"/>
        <v>#DIV/0!</v>
      </c>
      <c r="O56" s="199"/>
      <c r="P56" s="199"/>
      <c r="Q56" s="199"/>
      <c r="R56" s="199"/>
      <c r="S56" s="73" t="e">
        <f t="shared" si="5"/>
        <v>#DIV/0!</v>
      </c>
      <c r="T56" s="73" t="e">
        <f t="shared" si="6"/>
        <v>#DIV/0!</v>
      </c>
      <c r="U56" s="73" t="e">
        <f t="shared" si="7"/>
        <v>#DIV/0!</v>
      </c>
      <c r="V56" s="73" t="e">
        <f t="shared" si="8"/>
        <v>#DIV/0!</v>
      </c>
    </row>
    <row r="57" spans="2:22" ht="14.25" customHeight="1" x14ac:dyDescent="0.2">
      <c r="B57" s="96" t="s">
        <v>154</v>
      </c>
      <c r="C57" s="11" t="s">
        <v>13</v>
      </c>
      <c r="D57" s="11">
        <v>42</v>
      </c>
      <c r="E57" s="96" t="str">
        <f t="shared" si="0"/>
        <v>Copper</v>
      </c>
      <c r="F57" s="56">
        <v>350</v>
      </c>
      <c r="G57" s="100">
        <v>0.83460486844182002</v>
      </c>
      <c r="H57" s="100">
        <v>25.243459148406998</v>
      </c>
      <c r="I57" s="100">
        <v>2.43852823360588E-3</v>
      </c>
      <c r="J57" s="100">
        <v>7.3755725776376305E-2</v>
      </c>
      <c r="K57" s="54" t="e">
        <f t="shared" si="1"/>
        <v>#DIV/0!</v>
      </c>
      <c r="L57" s="54" t="e">
        <f t="shared" si="2"/>
        <v>#DIV/0!</v>
      </c>
      <c r="M57" s="54" t="e">
        <f t="shared" si="3"/>
        <v>#DIV/0!</v>
      </c>
      <c r="N57" s="54" t="e">
        <f t="shared" si="4"/>
        <v>#DIV/0!</v>
      </c>
      <c r="O57" s="199"/>
      <c r="P57" s="199"/>
      <c r="Q57" s="199"/>
      <c r="R57" s="199"/>
      <c r="S57" s="73" t="e">
        <f t="shared" si="5"/>
        <v>#DIV/0!</v>
      </c>
      <c r="T57" s="73" t="e">
        <f t="shared" si="6"/>
        <v>#DIV/0!</v>
      </c>
      <c r="U57" s="73" t="e">
        <f t="shared" si="7"/>
        <v>#DIV/0!</v>
      </c>
      <c r="V57" s="73" t="e">
        <f t="shared" si="8"/>
        <v>#DIV/0!</v>
      </c>
    </row>
    <row r="58" spans="2:22" ht="14.25" customHeight="1" x14ac:dyDescent="0.2">
      <c r="B58" s="96" t="s">
        <v>155</v>
      </c>
      <c r="C58" s="11" t="s">
        <v>13</v>
      </c>
      <c r="D58" s="11">
        <v>44</v>
      </c>
      <c r="E58" s="96" t="str">
        <f t="shared" si="0"/>
        <v>Copper</v>
      </c>
      <c r="F58" s="56">
        <v>500</v>
      </c>
      <c r="G58" s="100">
        <v>10.562704796791101</v>
      </c>
      <c r="H58" s="100">
        <v>319.479571228027</v>
      </c>
      <c r="I58" s="100">
        <v>8.8420470832109804E-4</v>
      </c>
      <c r="J58" s="100">
        <v>2.6743656028217301E-2</v>
      </c>
      <c r="K58" s="54" t="e">
        <f t="shared" si="1"/>
        <v>#DIV/0!</v>
      </c>
      <c r="L58" s="54" t="e">
        <f t="shared" si="2"/>
        <v>#DIV/0!</v>
      </c>
      <c r="M58" s="54" t="e">
        <f t="shared" si="3"/>
        <v>#DIV/0!</v>
      </c>
      <c r="N58" s="54" t="e">
        <f t="shared" si="4"/>
        <v>#DIV/0!</v>
      </c>
      <c r="O58" s="199"/>
      <c r="P58" s="199"/>
      <c r="Q58" s="199"/>
      <c r="R58" s="199"/>
      <c r="S58" s="73" t="e">
        <f t="shared" si="5"/>
        <v>#DIV/0!</v>
      </c>
      <c r="T58" s="73" t="e">
        <f t="shared" si="6"/>
        <v>#DIV/0!</v>
      </c>
      <c r="U58" s="73" t="e">
        <f t="shared" si="7"/>
        <v>#DIV/0!</v>
      </c>
      <c r="V58" s="73" t="e">
        <f t="shared" si="8"/>
        <v>#DIV/0!</v>
      </c>
    </row>
    <row r="59" spans="2:22" ht="14.25" customHeight="1" x14ac:dyDescent="0.2">
      <c r="B59" s="96" t="s">
        <v>156</v>
      </c>
      <c r="C59" s="11" t="s">
        <v>13</v>
      </c>
      <c r="D59" s="11">
        <v>45</v>
      </c>
      <c r="E59" s="96" t="str">
        <f t="shared" si="0"/>
        <v>Copper</v>
      </c>
      <c r="F59" s="56">
        <v>160</v>
      </c>
      <c r="G59" s="100">
        <v>1.3895071597397299</v>
      </c>
      <c r="H59" s="100">
        <v>42.027034015655502</v>
      </c>
      <c r="I59" s="100">
        <v>2.7849975194271801E-3</v>
      </c>
      <c r="J59" s="100">
        <v>8.4235035930481303E-2</v>
      </c>
      <c r="K59" s="54" t="e">
        <f t="shared" si="1"/>
        <v>#DIV/0!</v>
      </c>
      <c r="L59" s="54" t="e">
        <f t="shared" si="2"/>
        <v>#DIV/0!</v>
      </c>
      <c r="M59" s="54" t="e">
        <f t="shared" si="3"/>
        <v>#DIV/0!</v>
      </c>
      <c r="N59" s="54" t="e">
        <f t="shared" si="4"/>
        <v>#DIV/0!</v>
      </c>
      <c r="O59" s="199"/>
      <c r="P59" s="199"/>
      <c r="Q59" s="199"/>
      <c r="R59" s="199"/>
      <c r="S59" s="73" t="e">
        <f t="shared" si="5"/>
        <v>#DIV/0!</v>
      </c>
      <c r="T59" s="73" t="e">
        <f t="shared" si="6"/>
        <v>#DIV/0!</v>
      </c>
      <c r="U59" s="73" t="e">
        <f t="shared" si="7"/>
        <v>#DIV/0!</v>
      </c>
      <c r="V59" s="73" t="e">
        <f t="shared" si="8"/>
        <v>#DIV/0!</v>
      </c>
    </row>
    <row r="60" spans="2:22" ht="14.25" customHeight="1" x14ac:dyDescent="0.2">
      <c r="B60" s="96" t="s">
        <v>157</v>
      </c>
      <c r="C60" s="11" t="s">
        <v>13</v>
      </c>
      <c r="D60" s="11">
        <v>46</v>
      </c>
      <c r="E60" s="96" t="str">
        <f t="shared" si="0"/>
        <v>Copper</v>
      </c>
      <c r="F60" s="56">
        <v>450</v>
      </c>
      <c r="G60" s="100">
        <v>11.228400588035599</v>
      </c>
      <c r="H60" s="100">
        <v>339.61420700073199</v>
      </c>
      <c r="I60" s="100">
        <v>2.1911456354549401E-4</v>
      </c>
      <c r="J60" s="100">
        <v>6.6273391360785602E-3</v>
      </c>
      <c r="K60" s="54" t="e">
        <f t="shared" si="1"/>
        <v>#DIV/0!</v>
      </c>
      <c r="L60" s="54" t="e">
        <f t="shared" si="2"/>
        <v>#DIV/0!</v>
      </c>
      <c r="M60" s="54" t="e">
        <f t="shared" si="3"/>
        <v>#DIV/0!</v>
      </c>
      <c r="N60" s="54" t="e">
        <f t="shared" si="4"/>
        <v>#DIV/0!</v>
      </c>
      <c r="O60" s="199"/>
      <c r="P60" s="199"/>
      <c r="Q60" s="199"/>
      <c r="R60" s="199"/>
      <c r="S60" s="73" t="e">
        <f t="shared" si="5"/>
        <v>#DIV/0!</v>
      </c>
      <c r="T60" s="73" t="e">
        <f t="shared" si="6"/>
        <v>#DIV/0!</v>
      </c>
      <c r="U60" s="73" t="e">
        <f t="shared" si="7"/>
        <v>#DIV/0!</v>
      </c>
      <c r="V60" s="73" t="e">
        <f t="shared" si="8"/>
        <v>#DIV/0!</v>
      </c>
    </row>
    <row r="61" spans="2:22" ht="14.25" customHeight="1" x14ac:dyDescent="0.2">
      <c r="B61" s="96" t="s">
        <v>158</v>
      </c>
      <c r="C61" s="11" t="s">
        <v>13</v>
      </c>
      <c r="D61" s="11">
        <v>48</v>
      </c>
      <c r="E61" s="96" t="str">
        <f t="shared" si="0"/>
        <v>Copper</v>
      </c>
      <c r="F61" s="56">
        <v>365</v>
      </c>
      <c r="G61" s="100">
        <v>13.520816082954401</v>
      </c>
      <c r="H61" s="100">
        <v>408.95060630798298</v>
      </c>
      <c r="I61" s="100">
        <v>6.6973344409133396E-4</v>
      </c>
      <c r="J61" s="100">
        <v>2.0256757951574399E-2</v>
      </c>
      <c r="K61" s="54" t="e">
        <f t="shared" si="1"/>
        <v>#DIV/0!</v>
      </c>
      <c r="L61" s="54" t="e">
        <f t="shared" si="2"/>
        <v>#DIV/0!</v>
      </c>
      <c r="M61" s="54" t="e">
        <f t="shared" si="3"/>
        <v>#DIV/0!</v>
      </c>
      <c r="N61" s="54" t="e">
        <f t="shared" si="4"/>
        <v>#DIV/0!</v>
      </c>
      <c r="O61" s="199"/>
      <c r="P61" s="199"/>
      <c r="Q61" s="199"/>
      <c r="R61" s="199"/>
      <c r="S61" s="73" t="e">
        <f t="shared" si="5"/>
        <v>#DIV/0!</v>
      </c>
      <c r="T61" s="73" t="e">
        <f t="shared" si="6"/>
        <v>#DIV/0!</v>
      </c>
      <c r="U61" s="73" t="e">
        <f t="shared" si="7"/>
        <v>#DIV/0!</v>
      </c>
      <c r="V61" s="73" t="e">
        <f t="shared" si="8"/>
        <v>#DIV/0!</v>
      </c>
    </row>
    <row r="62" spans="2:22" ht="14.25" customHeight="1" x14ac:dyDescent="0.2">
      <c r="B62" s="96" t="s">
        <v>159</v>
      </c>
      <c r="C62" s="11" t="s">
        <v>160</v>
      </c>
      <c r="D62" s="11">
        <v>1</v>
      </c>
      <c r="E62" s="96" t="str">
        <f t="shared" si="0"/>
        <v>Copper</v>
      </c>
      <c r="F62" s="56">
        <v>54</v>
      </c>
      <c r="G62" s="100">
        <v>0.47779032059013798</v>
      </c>
      <c r="H62" s="100">
        <v>14.451246070861799</v>
      </c>
      <c r="I62" s="100">
        <v>8.8844053208915095E-4</v>
      </c>
      <c r="J62" s="100">
        <v>2.6871772467888799E-2</v>
      </c>
      <c r="K62" s="54" t="e">
        <f t="shared" si="1"/>
        <v>#DIV/0!</v>
      </c>
      <c r="L62" s="54" t="e">
        <f t="shared" si="2"/>
        <v>#DIV/0!</v>
      </c>
      <c r="M62" s="54" t="e">
        <f t="shared" si="3"/>
        <v>#DIV/0!</v>
      </c>
      <c r="N62" s="54" t="e">
        <f t="shared" si="4"/>
        <v>#DIV/0!</v>
      </c>
      <c r="O62" s="199"/>
      <c r="P62" s="199"/>
      <c r="Q62" s="199"/>
      <c r="R62" s="199"/>
      <c r="S62" s="73" t="e">
        <f t="shared" si="5"/>
        <v>#DIV/0!</v>
      </c>
      <c r="T62" s="73" t="e">
        <f t="shared" si="6"/>
        <v>#DIV/0!</v>
      </c>
      <c r="U62" s="73" t="e">
        <f t="shared" si="7"/>
        <v>#DIV/0!</v>
      </c>
      <c r="V62" s="73" t="e">
        <f t="shared" si="8"/>
        <v>#DIV/0!</v>
      </c>
    </row>
    <row r="63" spans="2:22" ht="14.25" customHeight="1" x14ac:dyDescent="0.2">
      <c r="B63" s="96" t="s">
        <v>161</v>
      </c>
      <c r="C63" s="11" t="s">
        <v>160</v>
      </c>
      <c r="D63" s="11">
        <v>2</v>
      </c>
      <c r="E63" s="96" t="str">
        <f t="shared" si="0"/>
        <v>Copper</v>
      </c>
      <c r="F63" s="56">
        <v>400</v>
      </c>
      <c r="G63" s="100">
        <v>4.8356440448760996</v>
      </c>
      <c r="H63" s="100">
        <v>146.25889068603499</v>
      </c>
      <c r="I63" s="100">
        <v>6.5429043986334404E-5</v>
      </c>
      <c r="J63" s="100">
        <v>1.9789668742218802E-3</v>
      </c>
      <c r="K63" s="54" t="e">
        <f t="shared" si="1"/>
        <v>#DIV/0!</v>
      </c>
      <c r="L63" s="54" t="e">
        <f t="shared" si="2"/>
        <v>#DIV/0!</v>
      </c>
      <c r="M63" s="54" t="e">
        <f t="shared" si="3"/>
        <v>#DIV/0!</v>
      </c>
      <c r="N63" s="54" t="e">
        <f t="shared" si="4"/>
        <v>#DIV/0!</v>
      </c>
      <c r="O63" s="199"/>
      <c r="P63" s="199"/>
      <c r="Q63" s="199"/>
      <c r="R63" s="199"/>
      <c r="S63" s="73" t="e">
        <f t="shared" si="5"/>
        <v>#DIV/0!</v>
      </c>
      <c r="T63" s="73" t="e">
        <f t="shared" si="6"/>
        <v>#DIV/0!</v>
      </c>
      <c r="U63" s="73" t="e">
        <f t="shared" si="7"/>
        <v>#DIV/0!</v>
      </c>
      <c r="V63" s="73" t="e">
        <f t="shared" si="8"/>
        <v>#DIV/0!</v>
      </c>
    </row>
    <row r="64" spans="2:22" ht="14.25" customHeight="1" x14ac:dyDescent="0.2">
      <c r="B64" s="96" t="s">
        <v>162</v>
      </c>
      <c r="C64" s="11" t="s">
        <v>160</v>
      </c>
      <c r="D64" s="11">
        <v>3</v>
      </c>
      <c r="E64" s="96" t="str">
        <f t="shared" si="0"/>
        <v>Copper</v>
      </c>
      <c r="F64" s="56">
        <v>180</v>
      </c>
      <c r="G64" s="100">
        <v>1.47083314368501E-3</v>
      </c>
      <c r="H64" s="100">
        <v>4.4486819367323599E-2</v>
      </c>
      <c r="I64" s="100">
        <v>8.7523388328264099E-5</v>
      </c>
      <c r="J64" s="100">
        <v>2.64723243472265E-3</v>
      </c>
      <c r="K64" s="54" t="e">
        <f t="shared" si="1"/>
        <v>#DIV/0!</v>
      </c>
      <c r="L64" s="54" t="e">
        <f t="shared" si="2"/>
        <v>#DIV/0!</v>
      </c>
      <c r="M64" s="54" t="e">
        <f t="shared" si="3"/>
        <v>#DIV/0!</v>
      </c>
      <c r="N64" s="54" t="e">
        <f t="shared" si="4"/>
        <v>#DIV/0!</v>
      </c>
      <c r="O64" s="199"/>
      <c r="P64" s="199"/>
      <c r="Q64" s="199"/>
      <c r="R64" s="199"/>
      <c r="S64" s="73" t="e">
        <f t="shared" si="5"/>
        <v>#DIV/0!</v>
      </c>
      <c r="T64" s="73" t="e">
        <f t="shared" si="6"/>
        <v>#DIV/0!</v>
      </c>
      <c r="U64" s="73" t="e">
        <f t="shared" si="7"/>
        <v>#DIV/0!</v>
      </c>
      <c r="V64" s="73" t="e">
        <f t="shared" si="8"/>
        <v>#DIV/0!</v>
      </c>
    </row>
    <row r="65" spans="1:22" ht="14.25" customHeight="1" x14ac:dyDescent="0.2">
      <c r="B65" s="96" t="s">
        <v>163</v>
      </c>
      <c r="C65" s="11" t="s">
        <v>160</v>
      </c>
      <c r="D65" s="11">
        <v>4</v>
      </c>
      <c r="E65" s="96" t="str">
        <f t="shared" si="0"/>
        <v>Copper</v>
      </c>
      <c r="F65" s="56">
        <v>85</v>
      </c>
      <c r="G65" s="100">
        <v>7.7226791048049899</v>
      </c>
      <c r="H65" s="100">
        <v>233.580153770447</v>
      </c>
      <c r="I65" s="100">
        <v>2.41313101945086E-3</v>
      </c>
      <c r="J65" s="100">
        <v>7.2987561495399603E-2</v>
      </c>
      <c r="K65" s="54" t="e">
        <f t="shared" si="1"/>
        <v>#DIV/0!</v>
      </c>
      <c r="L65" s="54" t="e">
        <f t="shared" si="2"/>
        <v>#DIV/0!</v>
      </c>
      <c r="M65" s="54" t="e">
        <f t="shared" si="3"/>
        <v>#DIV/0!</v>
      </c>
      <c r="N65" s="54" t="e">
        <f t="shared" si="4"/>
        <v>#DIV/0!</v>
      </c>
      <c r="O65" s="199"/>
      <c r="P65" s="199"/>
      <c r="Q65" s="199"/>
      <c r="R65" s="199"/>
      <c r="S65" s="73" t="e">
        <f t="shared" si="5"/>
        <v>#DIV/0!</v>
      </c>
      <c r="T65" s="73" t="e">
        <f t="shared" si="6"/>
        <v>#DIV/0!</v>
      </c>
      <c r="U65" s="73" t="e">
        <f t="shared" si="7"/>
        <v>#DIV/0!</v>
      </c>
      <c r="V65" s="73" t="e">
        <f t="shared" si="8"/>
        <v>#DIV/0!</v>
      </c>
    </row>
    <row r="66" spans="1:22" ht="14.25" customHeight="1" x14ac:dyDescent="0.2">
      <c r="B66" s="96" t="s">
        <v>164</v>
      </c>
      <c r="C66" s="11" t="s">
        <v>160</v>
      </c>
      <c r="D66" s="11">
        <v>5</v>
      </c>
      <c r="E66" s="96" t="str">
        <f t="shared" si="0"/>
        <v>Copper</v>
      </c>
      <c r="F66" s="56">
        <v>80</v>
      </c>
      <c r="G66" s="100">
        <v>26.100391149520899</v>
      </c>
      <c r="H66" s="100">
        <v>789.43243988037102</v>
      </c>
      <c r="I66" s="100">
        <v>1.3862378578163899E-4</v>
      </c>
      <c r="J66" s="100">
        <v>4.1928150930656801E-3</v>
      </c>
      <c r="K66" s="54" t="e">
        <f t="shared" si="1"/>
        <v>#DIV/0!</v>
      </c>
      <c r="L66" s="54" t="e">
        <f t="shared" si="2"/>
        <v>#DIV/0!</v>
      </c>
      <c r="M66" s="54" t="e">
        <f t="shared" si="3"/>
        <v>#DIV/0!</v>
      </c>
      <c r="N66" s="54" t="e">
        <f t="shared" si="4"/>
        <v>#DIV/0!</v>
      </c>
      <c r="O66" s="199"/>
      <c r="P66" s="199"/>
      <c r="Q66" s="199"/>
      <c r="R66" s="199"/>
      <c r="S66" s="73" t="e">
        <f t="shared" si="5"/>
        <v>#DIV/0!</v>
      </c>
      <c r="T66" s="73" t="e">
        <f t="shared" si="6"/>
        <v>#DIV/0!</v>
      </c>
      <c r="U66" s="73" t="e">
        <f t="shared" si="7"/>
        <v>#DIV/0!</v>
      </c>
      <c r="V66" s="73" t="e">
        <f t="shared" si="8"/>
        <v>#DIV/0!</v>
      </c>
    </row>
    <row r="67" spans="1:22" x14ac:dyDescent="0.2">
      <c r="B67" s="197" t="s">
        <v>14</v>
      </c>
      <c r="C67" s="197"/>
      <c r="D67" s="197"/>
      <c r="E67" s="197"/>
      <c r="F67" s="55"/>
      <c r="G67" s="55"/>
      <c r="H67" s="55"/>
      <c r="I67" s="55"/>
      <c r="J67" s="55"/>
      <c r="K67" s="74" t="e">
        <f>MAX($K$21:$K$66)</f>
        <v>#DIV/0!</v>
      </c>
      <c r="L67" s="74" t="e">
        <f>MAX($L$21:$L$66)</f>
        <v>#DIV/0!</v>
      </c>
      <c r="M67" s="74" t="e">
        <f>MAX($M$21:$M$66)</f>
        <v>#DIV/0!</v>
      </c>
      <c r="N67" s="74" t="e">
        <f>MAX($N$21:$N$66)</f>
        <v>#DIV/0!</v>
      </c>
      <c r="O67" s="74"/>
      <c r="P67" s="74"/>
      <c r="Q67" s="74"/>
      <c r="R67" s="74"/>
      <c r="S67" s="74" t="e">
        <f>MAX($S$21:$S$66)</f>
        <v>#DIV/0!</v>
      </c>
      <c r="T67" s="74" t="e">
        <f>MAX($T$21:$T$66)</f>
        <v>#DIV/0!</v>
      </c>
      <c r="U67" s="74" t="e">
        <f>MAX($U$21:$U$66)</f>
        <v>#DIV/0!</v>
      </c>
      <c r="V67" s="74" t="e">
        <f>MAX($V$21:$V$66)</f>
        <v>#DIV/0!</v>
      </c>
    </row>
    <row r="68" spans="1:22" x14ac:dyDescent="0.2">
      <c r="B68" s="197" t="s">
        <v>15</v>
      </c>
      <c r="C68" s="197"/>
      <c r="D68" s="197"/>
      <c r="E68" s="197"/>
      <c r="F68" s="55"/>
      <c r="G68" s="55"/>
      <c r="H68" s="55"/>
      <c r="I68" s="55"/>
      <c r="J68" s="55"/>
      <c r="K68" s="74" t="e">
        <f>MIN($K$21:$K$66)</f>
        <v>#DIV/0!</v>
      </c>
      <c r="L68" s="74" t="e">
        <f>MIN($L$21:$L$66)</f>
        <v>#DIV/0!</v>
      </c>
      <c r="M68" s="74" t="e">
        <f>MIN($M$21:$M$66)</f>
        <v>#DIV/0!</v>
      </c>
      <c r="N68" s="74" t="e">
        <f>MIN($N$21:$N$66)</f>
        <v>#DIV/0!</v>
      </c>
      <c r="O68" s="74"/>
      <c r="P68" s="74"/>
      <c r="Q68" s="74"/>
      <c r="R68" s="74"/>
      <c r="S68" s="74" t="e">
        <f>MIN($S$21:$S$66)</f>
        <v>#DIV/0!</v>
      </c>
      <c r="T68" s="74" t="e">
        <f>MIN($T$21:$T$66)</f>
        <v>#DIV/0!</v>
      </c>
      <c r="U68" s="74" t="e">
        <f>MIN($U$21:$U$66)</f>
        <v>#DIV/0!</v>
      </c>
      <c r="V68" s="74" t="e">
        <f>MIN($V$21:$V$66)</f>
        <v>#DIV/0!</v>
      </c>
    </row>
    <row r="69" spans="1:22" x14ac:dyDescent="0.2">
      <c r="A69"/>
      <c r="B69" s="17"/>
      <c r="C69" s="17"/>
      <c r="D69" s="17"/>
      <c r="E69" s="86" t="s">
        <v>96</v>
      </c>
      <c r="F69" s="17"/>
      <c r="G69" s="17"/>
      <c r="H69" s="17"/>
      <c r="I69" s="17"/>
      <c r="J69" s="17"/>
      <c r="K69" s="74" t="e">
        <f>_xlfn.PERCENTILE.INC(K$21:K$66,0.9)</f>
        <v>#DIV/0!</v>
      </c>
      <c r="L69" s="74" t="e">
        <f>_xlfn.PERCENTILE.INC(L$21:L$66,0.9)</f>
        <v>#DIV/0!</v>
      </c>
      <c r="M69" s="74" t="e">
        <f>_xlfn.PERCENTILE.INC(M$21:M$66,0.9)</f>
        <v>#DIV/0!</v>
      </c>
      <c r="N69" s="74" t="e">
        <f>_xlfn.PERCENTILE.INC(N$21:N$66,0.9)</f>
        <v>#DIV/0!</v>
      </c>
      <c r="O69" s="74"/>
      <c r="P69" s="74"/>
      <c r="Q69" s="74"/>
      <c r="R69" s="74"/>
      <c r="S69" s="74" t="e">
        <f>_xlfn.PERCENTILE.INC(S$21:S$66,0.9)</f>
        <v>#DIV/0!</v>
      </c>
      <c r="T69" s="74" t="e">
        <f>_xlfn.PERCENTILE.INC(T$21:T$66,0.9)</f>
        <v>#DIV/0!</v>
      </c>
      <c r="U69" s="74" t="e">
        <f>_xlfn.PERCENTILE.INC(U$21:U$66,0.9)</f>
        <v>#DIV/0!</v>
      </c>
      <c r="V69" s="74" t="e">
        <f>_xlfn.PERCENTILE.INC(V$21:V$66,0.9)</f>
        <v>#DIV/0!</v>
      </c>
    </row>
    <row r="70" spans="1:22" x14ac:dyDescent="0.2">
      <c r="B70" s="17"/>
      <c r="C70" s="17"/>
      <c r="D70" s="17"/>
      <c r="E70" s="86" t="s">
        <v>97</v>
      </c>
      <c r="F70" s="17"/>
      <c r="G70" s="17"/>
      <c r="H70" s="17"/>
      <c r="I70" s="17"/>
      <c r="J70" s="17"/>
      <c r="K70" s="74" t="e">
        <f>_xlfn.PERCENTILE.INC(K$21:K$66,0.8)</f>
        <v>#DIV/0!</v>
      </c>
      <c r="L70" s="74" t="e">
        <f>_xlfn.PERCENTILE.INC(L$21:L$66,0.8)</f>
        <v>#DIV/0!</v>
      </c>
      <c r="M70" s="74" t="e">
        <f>_xlfn.PERCENTILE.INC(M$21:M$66,0.8)</f>
        <v>#DIV/0!</v>
      </c>
      <c r="N70" s="74" t="e">
        <f>_xlfn.PERCENTILE.INC(N$21:N$66,0.8)</f>
        <v>#DIV/0!</v>
      </c>
      <c r="O70" s="74"/>
      <c r="P70" s="74"/>
      <c r="Q70" s="74"/>
      <c r="R70" s="74"/>
      <c r="S70" s="74" t="e">
        <f>_xlfn.PERCENTILE.INC(S$21:S$66,0.8)</f>
        <v>#DIV/0!</v>
      </c>
      <c r="T70" s="74" t="e">
        <f>_xlfn.PERCENTILE.INC(T$21:T$66,0.8)</f>
        <v>#DIV/0!</v>
      </c>
      <c r="U70" s="74" t="e">
        <f>_xlfn.PERCENTILE.INC(U$21:U$66,0.8)</f>
        <v>#DIV/0!</v>
      </c>
      <c r="V70" s="74" t="e">
        <f>_xlfn.PERCENTILE.INC(V$21:V$66,0.8)</f>
        <v>#DIV/0!</v>
      </c>
    </row>
    <row r="71" spans="1:22" x14ac:dyDescent="0.2">
      <c r="B71" s="17"/>
      <c r="C71" s="17"/>
      <c r="D71" s="17"/>
      <c r="E71" s="86" t="s">
        <v>98</v>
      </c>
      <c r="F71" s="17"/>
      <c r="G71" s="17"/>
      <c r="H71" s="17"/>
      <c r="I71" s="17"/>
      <c r="J71" s="17"/>
      <c r="K71" s="74" t="e">
        <f>_xlfn.PERCENTILE.INC(K$21:K$66,0.75)</f>
        <v>#DIV/0!</v>
      </c>
      <c r="L71" s="74" t="e">
        <f>_xlfn.PERCENTILE.INC(L$21:L$66,0.75)</f>
        <v>#DIV/0!</v>
      </c>
      <c r="M71" s="74" t="e">
        <f>_xlfn.PERCENTILE.INC(M$21:M$66,0.75)</f>
        <v>#DIV/0!</v>
      </c>
      <c r="N71" s="74" t="e">
        <f>_xlfn.PERCENTILE.INC(N$21:N$66,0.75)</f>
        <v>#DIV/0!</v>
      </c>
      <c r="O71" s="74"/>
      <c r="P71" s="74"/>
      <c r="Q71" s="74"/>
      <c r="R71" s="74"/>
      <c r="S71" s="74" t="e">
        <f>_xlfn.PERCENTILE.INC(S$21:S$66,0.75)</f>
        <v>#DIV/0!</v>
      </c>
      <c r="T71" s="74" t="e">
        <f>_xlfn.PERCENTILE.INC(T$21:T$66,0.75)</f>
        <v>#DIV/0!</v>
      </c>
      <c r="U71" s="74" t="e">
        <f>_xlfn.PERCENTILE.INC(U$21:U$66,0.75)</f>
        <v>#DIV/0!</v>
      </c>
      <c r="V71" s="74" t="e">
        <f>_xlfn.PERCENTILE.INC(V$21:V$66,0.75)</f>
        <v>#DIV/0!</v>
      </c>
    </row>
    <row r="72" spans="1:22" x14ac:dyDescent="0.2">
      <c r="B72" s="17"/>
      <c r="C72" s="17"/>
      <c r="D72" s="17"/>
      <c r="E72" s="86" t="s">
        <v>99</v>
      </c>
      <c r="F72" s="17"/>
      <c r="G72" s="17"/>
      <c r="H72" s="17"/>
      <c r="I72" s="17"/>
      <c r="J72" s="17"/>
      <c r="K72" s="74" t="e">
        <f>_xlfn.PERCENTILE.INC(K$21:K$66,0.5)</f>
        <v>#DIV/0!</v>
      </c>
      <c r="L72" s="74" t="e">
        <f>_xlfn.PERCENTILE.INC(L$21:L$66,0.5)</f>
        <v>#DIV/0!</v>
      </c>
      <c r="M72" s="74" t="e">
        <f>_xlfn.PERCENTILE.INC(M$21:M$66,0.5)</f>
        <v>#DIV/0!</v>
      </c>
      <c r="N72" s="74" t="e">
        <f>_xlfn.PERCENTILE.INC(N$21:N$66,0.5)</f>
        <v>#DIV/0!</v>
      </c>
      <c r="O72" s="74"/>
      <c r="P72" s="74"/>
      <c r="Q72" s="74"/>
      <c r="R72" s="74"/>
      <c r="S72" s="74" t="e">
        <f>_xlfn.PERCENTILE.INC(S$21:S$66,0.5)</f>
        <v>#DIV/0!</v>
      </c>
      <c r="T72" s="74" t="e">
        <f>_xlfn.PERCENTILE.INC(T$21:T$66,0.5)</f>
        <v>#DIV/0!</v>
      </c>
      <c r="U72" s="74" t="e">
        <f>_xlfn.PERCENTILE.INC(U$21:U$66,0.5)</f>
        <v>#DIV/0!</v>
      </c>
      <c r="V72" s="74" t="e">
        <f>_xlfn.PERCENTILE.INC(V$21:V$66,0.5)</f>
        <v>#DIV/0!</v>
      </c>
    </row>
    <row r="73" spans="1:22" x14ac:dyDescent="0.2">
      <c r="B73" s="17"/>
      <c r="C73" s="17"/>
      <c r="D73" s="17"/>
      <c r="E73" s="86" t="s">
        <v>100</v>
      </c>
      <c r="F73" s="17"/>
      <c r="G73" s="17"/>
      <c r="H73" s="17"/>
      <c r="I73" s="17"/>
      <c r="J73" s="17"/>
      <c r="K73" s="74" t="e">
        <f>_xlfn.PERCENTILE.INC(K$21:K$66,0.25)</f>
        <v>#DIV/0!</v>
      </c>
      <c r="L73" s="74" t="e">
        <f>_xlfn.PERCENTILE.INC(L$21:L$66,0.25)</f>
        <v>#DIV/0!</v>
      </c>
      <c r="M73" s="74" t="e">
        <f>_xlfn.PERCENTILE.INC(M$21:M$66,0.25)</f>
        <v>#DIV/0!</v>
      </c>
      <c r="N73" s="74" t="e">
        <f>_xlfn.PERCENTILE.INC(N$21:N$66,0.25)</f>
        <v>#DIV/0!</v>
      </c>
      <c r="O73" s="74"/>
      <c r="P73" s="74"/>
      <c r="Q73" s="74"/>
      <c r="R73" s="74"/>
      <c r="S73" s="74" t="e">
        <f>_xlfn.PERCENTILE.INC(S$21:S$66,0.25)</f>
        <v>#DIV/0!</v>
      </c>
      <c r="T73" s="74" t="e">
        <f>_xlfn.PERCENTILE.INC(T$21:T$66,0.25)</f>
        <v>#DIV/0!</v>
      </c>
      <c r="U73" s="74" t="e">
        <f>_xlfn.PERCENTILE.INC(U$21:U$66,0.25)</f>
        <v>#DIV/0!</v>
      </c>
      <c r="V73" s="74" t="e">
        <f>_xlfn.PERCENTILE.INC(V$21:V$66,0.25)</f>
        <v>#DIV/0!</v>
      </c>
    </row>
    <row r="74" spans="1:22" x14ac:dyDescent="0.2">
      <c r="B74" s="17"/>
      <c r="C74" s="17"/>
      <c r="D74" s="17"/>
      <c r="E74" s="86" t="s">
        <v>101</v>
      </c>
      <c r="F74" s="17"/>
      <c r="G74" s="17"/>
      <c r="H74" s="17"/>
      <c r="I74" s="17"/>
      <c r="J74" s="17"/>
      <c r="K74" s="74" t="e">
        <f>_xlfn.PERCENTILE.INC(K$21:K$66,0.1)</f>
        <v>#DIV/0!</v>
      </c>
      <c r="L74" s="74" t="e">
        <f>_xlfn.PERCENTILE.INC(L$21:L$66,0.1)</f>
        <v>#DIV/0!</v>
      </c>
      <c r="M74" s="74" t="e">
        <f>_xlfn.PERCENTILE.INC(M$21:M$66,0.1)</f>
        <v>#DIV/0!</v>
      </c>
      <c r="N74" s="74" t="e">
        <f>_xlfn.PERCENTILE.INC(N$21:N$66,0.1)</f>
        <v>#DIV/0!</v>
      </c>
      <c r="O74" s="74"/>
      <c r="P74" s="74"/>
      <c r="Q74" s="74"/>
      <c r="R74" s="74"/>
      <c r="S74" s="74" t="e">
        <f>_xlfn.PERCENTILE.INC(S$21:S$66,0.1)</f>
        <v>#DIV/0!</v>
      </c>
      <c r="T74" s="74" t="e">
        <f>_xlfn.PERCENTILE.INC(T$21:T$66,0.1)</f>
        <v>#DIV/0!</v>
      </c>
      <c r="U74" s="74" t="e">
        <f>_xlfn.PERCENTILE.INC(U$21:U$66,0.1)</f>
        <v>#DIV/0!</v>
      </c>
      <c r="V74" s="74" t="e">
        <f>_xlfn.PERCENTILE.INC(V$21:V$66,0.1)</f>
        <v>#DIV/0!</v>
      </c>
    </row>
  </sheetData>
  <mergeCells count="11">
    <mergeCell ref="B67:E67"/>
    <mergeCell ref="B68:E68"/>
    <mergeCell ref="B2:R2"/>
    <mergeCell ref="B19:V19"/>
    <mergeCell ref="B4:H4"/>
    <mergeCell ref="B13:H13"/>
    <mergeCell ref="O21:O66"/>
    <mergeCell ref="P21:P66"/>
    <mergeCell ref="Q21:Q66"/>
    <mergeCell ref="R21:R66"/>
    <mergeCell ref="K4:Q4"/>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B2:Z27"/>
  <sheetViews>
    <sheetView zoomScale="90" zoomScaleNormal="90" workbookViewId="0"/>
  </sheetViews>
  <sheetFormatPr defaultRowHeight="12.75" x14ac:dyDescent="0.2"/>
  <cols>
    <col min="1" max="1" width="9" style="3"/>
    <col min="2" max="2" width="9" style="3" customWidth="1"/>
    <col min="3" max="16384" width="9" style="3"/>
  </cols>
  <sheetData>
    <row r="2" spans="2:26" ht="21" customHeight="1" thickBot="1" x14ac:dyDescent="0.25">
      <c r="B2" s="166" t="s">
        <v>183</v>
      </c>
      <c r="C2" s="166"/>
      <c r="D2" s="166"/>
      <c r="E2" s="166"/>
      <c r="F2" s="166"/>
      <c r="G2" s="166"/>
      <c r="H2" s="166"/>
      <c r="I2" s="166"/>
      <c r="J2" s="166"/>
    </row>
    <row r="3" spans="2:26" ht="13.5" thickTop="1" x14ac:dyDescent="0.2"/>
    <row r="5" spans="2:26" ht="27.95" customHeight="1" x14ac:dyDescent="0.2">
      <c r="B5" s="167" t="s">
        <v>240</v>
      </c>
      <c r="C5" s="167"/>
      <c r="D5" s="167"/>
      <c r="E5" s="167"/>
      <c r="F5" s="167"/>
      <c r="G5" s="167"/>
      <c r="H5" s="167"/>
      <c r="I5" s="167"/>
      <c r="J5" s="167"/>
      <c r="K5" s="167"/>
      <c r="L5" s="167"/>
      <c r="M5" s="167"/>
      <c r="N5" s="167"/>
      <c r="O5" s="167"/>
      <c r="P5" s="167"/>
      <c r="Q5" s="167"/>
      <c r="R5" s="167"/>
      <c r="S5" s="167"/>
      <c r="T5" s="167"/>
      <c r="U5" s="167"/>
      <c r="V5" s="167"/>
      <c r="W5" s="167"/>
      <c r="X5" s="167"/>
      <c r="Y5" s="167"/>
      <c r="Z5" s="167"/>
    </row>
    <row r="6" spans="2:26" x14ac:dyDescent="0.2">
      <c r="B6" s="167"/>
      <c r="C6" s="167"/>
      <c r="D6" s="167"/>
      <c r="E6" s="167"/>
      <c r="F6" s="167"/>
      <c r="G6" s="167"/>
      <c r="H6" s="167"/>
      <c r="I6" s="167"/>
      <c r="J6" s="167"/>
      <c r="K6" s="167"/>
      <c r="L6" s="167"/>
      <c r="M6" s="167"/>
      <c r="N6" s="167"/>
      <c r="O6" s="167"/>
      <c r="P6" s="167"/>
      <c r="Q6" s="167"/>
      <c r="R6" s="167"/>
      <c r="S6" s="167"/>
      <c r="T6" s="167"/>
      <c r="U6" s="167"/>
      <c r="V6" s="167"/>
      <c r="W6" s="167"/>
      <c r="X6" s="167"/>
      <c r="Y6" s="167"/>
      <c r="Z6" s="167"/>
    </row>
    <row r="7" spans="2:26" x14ac:dyDescent="0.2">
      <c r="B7" s="167" t="s">
        <v>241</v>
      </c>
      <c r="C7" s="167"/>
      <c r="D7" s="167"/>
      <c r="E7" s="167"/>
      <c r="F7" s="167"/>
      <c r="G7" s="167"/>
      <c r="H7" s="167"/>
      <c r="I7" s="167"/>
      <c r="J7" s="167"/>
      <c r="K7" s="167"/>
      <c r="L7" s="167"/>
      <c r="M7" s="167"/>
      <c r="N7" s="167"/>
      <c r="O7" s="167"/>
      <c r="P7" s="167"/>
      <c r="Q7" s="167"/>
      <c r="R7" s="167"/>
      <c r="S7" s="167"/>
      <c r="T7" s="167"/>
      <c r="U7" s="167"/>
      <c r="V7" s="167"/>
      <c r="W7" s="167"/>
      <c r="X7" s="167"/>
      <c r="Y7" s="167"/>
      <c r="Z7" s="167"/>
    </row>
    <row r="8" spans="2:26" x14ac:dyDescent="0.2">
      <c r="B8" s="167"/>
      <c r="C8" s="167"/>
      <c r="D8" s="167"/>
      <c r="E8" s="167"/>
      <c r="F8" s="167"/>
      <c r="G8" s="167"/>
      <c r="H8" s="167"/>
      <c r="I8" s="167"/>
      <c r="J8" s="167"/>
      <c r="K8" s="167"/>
      <c r="L8" s="167"/>
      <c r="M8" s="167"/>
      <c r="N8" s="167"/>
      <c r="O8" s="167"/>
      <c r="P8" s="167"/>
      <c r="Q8" s="167"/>
      <c r="R8" s="167"/>
      <c r="S8" s="167"/>
      <c r="T8" s="167"/>
      <c r="U8" s="167"/>
      <c r="V8" s="167"/>
      <c r="W8" s="167"/>
      <c r="X8" s="167"/>
      <c r="Y8" s="167"/>
      <c r="Z8" s="167"/>
    </row>
    <row r="9" spans="2:26" x14ac:dyDescent="0.2">
      <c r="B9" s="167" t="s">
        <v>242</v>
      </c>
      <c r="C9" s="167"/>
      <c r="D9" s="167"/>
      <c r="E9" s="167"/>
      <c r="F9" s="167"/>
      <c r="G9" s="167"/>
      <c r="H9" s="167"/>
      <c r="I9" s="167"/>
      <c r="J9" s="167"/>
      <c r="K9" s="167"/>
      <c r="L9" s="167"/>
      <c r="M9" s="167"/>
      <c r="N9" s="167"/>
      <c r="O9" s="167"/>
      <c r="P9" s="167"/>
      <c r="Q9" s="167"/>
      <c r="R9" s="167"/>
      <c r="S9" s="167"/>
      <c r="T9" s="167"/>
      <c r="U9" s="167"/>
      <c r="V9" s="167"/>
      <c r="W9" s="167"/>
      <c r="X9" s="167"/>
      <c r="Y9" s="167"/>
      <c r="Z9" s="167"/>
    </row>
    <row r="10" spans="2:26" x14ac:dyDescent="0.2">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row>
    <row r="11" spans="2:26" ht="27.95" customHeight="1" x14ac:dyDescent="0.2">
      <c r="B11" s="167" t="s">
        <v>252</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row>
    <row r="12" spans="2:26" x14ac:dyDescent="0.2">
      <c r="B12" s="167"/>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row>
    <row r="13" spans="2:26" ht="27.95" customHeight="1" x14ac:dyDescent="0.2">
      <c r="B13" s="167" t="s">
        <v>253</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row>
    <row r="14" spans="2:26" x14ac:dyDescent="0.2">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row>
    <row r="15" spans="2:26" ht="27.95" customHeight="1" x14ac:dyDescent="0.2">
      <c r="B15" s="167" t="s">
        <v>254</v>
      </c>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row>
    <row r="16" spans="2:26" x14ac:dyDescent="0.2">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row>
    <row r="17" spans="2:26" ht="27.95" customHeight="1" x14ac:dyDescent="0.2">
      <c r="B17" s="167" t="s">
        <v>243</v>
      </c>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row>
    <row r="18" spans="2:26" x14ac:dyDescent="0.2">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row>
    <row r="19" spans="2:26" ht="27.95" customHeight="1" x14ac:dyDescent="0.2">
      <c r="B19" s="167" t="s">
        <v>244</v>
      </c>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row>
    <row r="20" spans="2:26" x14ac:dyDescent="0.2">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row>
    <row r="21" spans="2:26" ht="27.95" customHeight="1" x14ac:dyDescent="0.2">
      <c r="B21" s="167" t="s">
        <v>245</v>
      </c>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row>
    <row r="22" spans="2:26" x14ac:dyDescent="0.2">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row>
    <row r="23" spans="2:26" ht="27.95" customHeight="1" x14ac:dyDescent="0.2">
      <c r="B23" s="167" t="s">
        <v>246</v>
      </c>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row>
    <row r="24" spans="2:26" x14ac:dyDescent="0.2">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row>
    <row r="25" spans="2:26" x14ac:dyDescent="0.2">
      <c r="B25" s="167" t="s">
        <v>247</v>
      </c>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row>
    <row r="26" spans="2:26" x14ac:dyDescent="0.2">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row>
    <row r="27" spans="2:26" ht="27.95" customHeight="1" x14ac:dyDescent="0.2">
      <c r="B27" s="167" t="s">
        <v>248</v>
      </c>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row>
  </sheetData>
  <mergeCells count="24">
    <mergeCell ref="B19:Z19"/>
    <mergeCell ref="B20:Z20"/>
    <mergeCell ref="B21:Z21"/>
    <mergeCell ref="B27:Z27"/>
    <mergeCell ref="B22:Z22"/>
    <mergeCell ref="B23:Z23"/>
    <mergeCell ref="B24:Z24"/>
    <mergeCell ref="B25:Z25"/>
    <mergeCell ref="B26:Z26"/>
    <mergeCell ref="B14:Z14"/>
    <mergeCell ref="B15:Z15"/>
    <mergeCell ref="B16:Z16"/>
    <mergeCell ref="B17:Z17"/>
    <mergeCell ref="B18:Z18"/>
    <mergeCell ref="B9:Z9"/>
    <mergeCell ref="B10:Z10"/>
    <mergeCell ref="B11:Z11"/>
    <mergeCell ref="B12:Z12"/>
    <mergeCell ref="B13:Z13"/>
    <mergeCell ref="B2:J2"/>
    <mergeCell ref="B5:Z5"/>
    <mergeCell ref="B6:Z6"/>
    <mergeCell ref="B7:Z7"/>
    <mergeCell ref="B8:Z8"/>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V22"/>
  <sheetViews>
    <sheetView zoomScale="90" zoomScaleNormal="90" workbookViewId="0"/>
  </sheetViews>
  <sheetFormatPr defaultRowHeight="12.75" x14ac:dyDescent="0.2"/>
  <cols>
    <col min="2" max="2" width="28.125" customWidth="1"/>
    <col min="3" max="3" width="25.25" customWidth="1"/>
    <col min="5" max="12" width="15.625" customWidth="1"/>
    <col min="13" max="20" width="12.625" customWidth="1"/>
  </cols>
  <sheetData>
    <row r="2" spans="2:18" ht="21" thickBot="1" x14ac:dyDescent="0.35">
      <c r="B2" s="196" t="s">
        <v>103</v>
      </c>
      <c r="C2" s="196"/>
      <c r="D2" s="196"/>
      <c r="E2" s="196"/>
      <c r="F2" s="196"/>
      <c r="G2" s="196"/>
      <c r="H2" s="196"/>
      <c r="I2" s="196"/>
      <c r="J2" s="196"/>
      <c r="K2" s="196"/>
      <c r="L2" s="196"/>
      <c r="M2" s="196"/>
      <c r="N2" s="196"/>
      <c r="O2" s="196"/>
      <c r="P2" s="196"/>
      <c r="Q2" s="196"/>
      <c r="R2" s="196"/>
    </row>
    <row r="3" spans="2:18" ht="15" customHeight="1" thickTop="1" x14ac:dyDescent="0.2">
      <c r="B3" s="148" t="str">
        <f>Tooltype</f>
        <v>Freshwater calculator tool</v>
      </c>
      <c r="C3" s="3"/>
      <c r="D3" s="3"/>
      <c r="E3" s="3"/>
      <c r="F3" s="3"/>
      <c r="G3" s="3"/>
      <c r="H3" s="3"/>
      <c r="I3" s="3"/>
      <c r="J3" s="91"/>
      <c r="K3" s="91"/>
      <c r="L3" s="91"/>
      <c r="M3" s="91"/>
      <c r="N3" s="91"/>
      <c r="O3" s="91"/>
      <c r="P3" s="91"/>
      <c r="Q3" s="3"/>
      <c r="R3" s="3"/>
    </row>
    <row r="4" spans="2:18" ht="15" customHeight="1" thickBot="1" x14ac:dyDescent="0.35">
      <c r="B4" s="198" t="s">
        <v>49</v>
      </c>
      <c r="C4" s="198"/>
      <c r="D4" s="198"/>
      <c r="E4" s="198"/>
      <c r="F4" s="198"/>
      <c r="G4" s="198"/>
      <c r="H4" s="198"/>
      <c r="I4" s="3"/>
      <c r="J4" s="91"/>
      <c r="K4" s="91"/>
      <c r="L4" s="91"/>
      <c r="M4" s="91"/>
      <c r="N4" s="91"/>
      <c r="O4" s="91"/>
      <c r="P4" s="91"/>
      <c r="Q4" s="3"/>
      <c r="R4" s="3"/>
    </row>
    <row r="5" spans="2:18" ht="15" customHeight="1" thickTop="1" x14ac:dyDescent="0.2">
      <c r="B5" s="3"/>
      <c r="C5" s="3"/>
      <c r="D5" s="3"/>
      <c r="E5" s="3"/>
      <c r="F5" s="3"/>
      <c r="G5" s="3"/>
      <c r="H5" s="3"/>
      <c r="I5" s="3"/>
      <c r="J5" s="91"/>
      <c r="K5" s="91"/>
      <c r="L5" s="91"/>
      <c r="M5" s="91"/>
      <c r="N5" s="91"/>
      <c r="O5" s="91"/>
      <c r="P5" s="91"/>
      <c r="Q5" s="3"/>
      <c r="R5" s="3"/>
    </row>
    <row r="6" spans="2:18" ht="15" customHeight="1" x14ac:dyDescent="0.2">
      <c r="B6" s="3" t="s">
        <v>69</v>
      </c>
      <c r="C6" s="3"/>
      <c r="D6" s="3"/>
      <c r="E6" s="3"/>
      <c r="F6" s="3"/>
      <c r="G6" s="53">
        <v>2.5</v>
      </c>
      <c r="H6" s="28" t="s">
        <v>182</v>
      </c>
      <c r="I6" s="3"/>
      <c r="J6" s="91"/>
      <c r="K6" s="91"/>
      <c r="L6" s="91"/>
      <c r="M6" s="91"/>
      <c r="N6" s="91"/>
      <c r="O6" s="91"/>
      <c r="P6" s="91"/>
      <c r="Q6" s="3"/>
      <c r="R6" s="3"/>
    </row>
    <row r="7" spans="2:18" ht="15" customHeight="1" x14ac:dyDescent="0.2">
      <c r="B7" s="3" t="s">
        <v>54</v>
      </c>
      <c r="C7" s="3"/>
      <c r="D7" s="3"/>
      <c r="E7" s="3"/>
      <c r="F7" s="3"/>
      <c r="G7" s="3">
        <f>C_Average_biocide_release_over_the_lifetime_of_the_paint_M</f>
        <v>0</v>
      </c>
      <c r="H7" s="28" t="s">
        <v>182</v>
      </c>
      <c r="I7" s="3"/>
      <c r="J7" s="91"/>
      <c r="K7" s="91"/>
      <c r="L7" s="91"/>
      <c r="M7" s="91"/>
      <c r="N7" s="91"/>
      <c r="O7" s="91"/>
      <c r="P7" s="91"/>
      <c r="Q7" s="3"/>
      <c r="R7" s="3"/>
    </row>
    <row r="8" spans="2:18" ht="15" customHeight="1" x14ac:dyDescent="0.2">
      <c r="B8" s="3" t="s">
        <v>55</v>
      </c>
      <c r="C8" s="3"/>
      <c r="D8" s="3"/>
      <c r="E8" s="3"/>
      <c r="F8" s="3"/>
      <c r="G8" s="37" t="e">
        <f>C_Average_biocide_release_over_the_lifetime_of_the_paint_C</f>
        <v>#DIV/0!</v>
      </c>
      <c r="H8" s="28" t="s">
        <v>182</v>
      </c>
      <c r="I8" s="3"/>
      <c r="J8" s="91"/>
      <c r="K8" s="91"/>
      <c r="L8" s="91"/>
      <c r="M8" s="91"/>
      <c r="N8" s="91"/>
      <c r="O8" s="91"/>
      <c r="P8" s="91"/>
      <c r="Q8" s="3"/>
      <c r="R8" s="3"/>
    </row>
    <row r="9" spans="2:18" ht="15" customHeight="1" x14ac:dyDescent="0.2">
      <c r="B9" s="3" t="s">
        <v>53</v>
      </c>
      <c r="C9" s="3"/>
      <c r="D9" s="3"/>
      <c r="E9" s="3"/>
      <c r="F9" s="3"/>
      <c r="G9" s="40">
        <f>IF(ISBLANK(C_Average_biocide_release_over_the_lifetime_of_the_paint_M),1,0)</f>
        <v>1</v>
      </c>
      <c r="H9" s="28"/>
      <c r="I9" s="3"/>
      <c r="J9" s="91"/>
      <c r="K9" s="91"/>
      <c r="L9" s="91"/>
      <c r="M9" s="91"/>
      <c r="N9" s="91"/>
      <c r="O9" s="91"/>
      <c r="P9" s="91"/>
      <c r="Q9" s="3"/>
      <c r="R9" s="3"/>
    </row>
    <row r="10" spans="2:18" ht="15" customHeight="1" x14ac:dyDescent="0.2">
      <c r="B10" s="3" t="s">
        <v>52</v>
      </c>
      <c r="C10" s="3"/>
      <c r="D10" s="3"/>
      <c r="E10" s="3"/>
      <c r="F10" s="3"/>
      <c r="G10" s="37" t="e">
        <f>IF((G9&lt;1),C_Average_biocide_release_over_the_lifetime_of_the_paint_M,C_Average_biocide_release_over_the_lifetime_of_the_paint_C)</f>
        <v>#DIV/0!</v>
      </c>
      <c r="H10" s="28" t="s">
        <v>182</v>
      </c>
      <c r="I10" s="3"/>
      <c r="J10" s="3"/>
      <c r="K10" s="3"/>
      <c r="L10" s="3"/>
      <c r="M10" s="3"/>
      <c r="N10" s="3"/>
      <c r="O10" s="3"/>
      <c r="P10" s="3"/>
      <c r="Q10" s="3"/>
      <c r="R10" s="3"/>
    </row>
    <row r="11" spans="2:18" ht="15" customHeight="1" x14ac:dyDescent="0.2">
      <c r="B11" s="3" t="s">
        <v>50</v>
      </c>
      <c r="C11" s="3"/>
      <c r="D11" s="3"/>
      <c r="E11" s="3"/>
      <c r="F11" s="3"/>
      <c r="G11" s="37" t="e">
        <f>G10/G6</f>
        <v>#DIV/0!</v>
      </c>
      <c r="H11" s="3" t="s">
        <v>2</v>
      </c>
      <c r="I11" s="3"/>
      <c r="J11" s="3"/>
      <c r="K11" s="3"/>
      <c r="L11" s="3"/>
      <c r="M11" s="3"/>
      <c r="N11" s="3"/>
      <c r="O11" s="3"/>
      <c r="P11" s="3"/>
      <c r="Q11" s="3"/>
      <c r="R11" s="3"/>
    </row>
    <row r="12" spans="2:18" ht="15" customHeight="1" x14ac:dyDescent="0.2">
      <c r="B12" s="3"/>
      <c r="C12" s="3"/>
      <c r="D12" s="3"/>
      <c r="E12" s="3"/>
      <c r="F12" s="3"/>
      <c r="G12" s="37"/>
      <c r="H12" s="3"/>
      <c r="I12" s="3"/>
      <c r="J12" s="3"/>
      <c r="K12" s="3"/>
      <c r="L12" s="3"/>
      <c r="M12" s="3"/>
      <c r="N12" s="3"/>
      <c r="O12" s="3"/>
      <c r="P12" s="3"/>
      <c r="Q12" s="3"/>
      <c r="R12" s="3"/>
    </row>
    <row r="13" spans="2:18" ht="15" customHeight="1" thickBot="1" x14ac:dyDescent="0.35">
      <c r="B13" s="198" t="s">
        <v>68</v>
      </c>
      <c r="C13" s="198"/>
      <c r="D13" s="198"/>
      <c r="E13" s="198"/>
      <c r="F13" s="198"/>
      <c r="G13" s="198"/>
      <c r="H13" s="198"/>
      <c r="I13" s="3"/>
      <c r="J13" s="3"/>
      <c r="K13" s="3"/>
      <c r="L13" s="3"/>
      <c r="M13" s="3"/>
      <c r="N13" s="3"/>
      <c r="O13" s="3"/>
      <c r="P13" s="3"/>
      <c r="Q13" s="3"/>
      <c r="R13" s="3"/>
    </row>
    <row r="14" spans="2:18" ht="15" customHeight="1" thickTop="1" x14ac:dyDescent="0.2">
      <c r="B14" s="3"/>
      <c r="C14" s="3"/>
      <c r="D14" s="3"/>
      <c r="E14" s="3"/>
      <c r="F14" s="3"/>
      <c r="G14" s="3"/>
      <c r="H14" s="3"/>
      <c r="I14" s="3"/>
      <c r="J14" s="3"/>
      <c r="K14" s="3"/>
      <c r="L14" s="3"/>
      <c r="M14" s="3"/>
      <c r="N14" s="3"/>
      <c r="O14" s="3"/>
      <c r="P14" s="3"/>
      <c r="Q14" s="3"/>
      <c r="R14" s="3"/>
    </row>
    <row r="15" spans="2:18" ht="15" customHeight="1" x14ac:dyDescent="0.2">
      <c r="B15" s="3" t="s">
        <v>75</v>
      </c>
      <c r="C15" s="3"/>
      <c r="D15" s="3"/>
      <c r="E15" s="3"/>
      <c r="F15" s="3"/>
      <c r="G15" s="159">
        <v>0.9</v>
      </c>
      <c r="H15" s="3"/>
      <c r="I15" s="3"/>
      <c r="J15" s="3"/>
      <c r="K15" s="3"/>
      <c r="L15" s="3"/>
      <c r="M15" s="3"/>
      <c r="N15" s="3"/>
      <c r="O15" s="3"/>
      <c r="P15" s="3"/>
      <c r="Q15" s="3"/>
      <c r="R15" s="3"/>
    </row>
    <row r="16" spans="2:18" ht="15" customHeight="1" x14ac:dyDescent="0.2">
      <c r="B16" s="3" t="s">
        <v>70</v>
      </c>
      <c r="C16" s="3"/>
      <c r="D16" s="3"/>
      <c r="E16" s="3"/>
      <c r="F16" s="3"/>
      <c r="G16" s="37">
        <f>Application_Factor</f>
        <v>0.9</v>
      </c>
      <c r="H16" s="3"/>
      <c r="I16" s="3"/>
      <c r="J16" s="3"/>
      <c r="K16" s="3"/>
      <c r="L16" s="3"/>
      <c r="M16" s="3"/>
      <c r="N16" s="3"/>
      <c r="O16" s="3"/>
      <c r="P16" s="3"/>
      <c r="Q16" s="3"/>
      <c r="R16" s="3"/>
    </row>
    <row r="17" spans="2:22" ht="15" customHeight="1" x14ac:dyDescent="0.2">
      <c r="B17" s="3" t="s">
        <v>50</v>
      </c>
      <c r="C17" s="3"/>
      <c r="D17" s="3"/>
      <c r="E17" s="3"/>
      <c r="F17" s="3"/>
      <c r="G17" s="37">
        <f>Application_Conversion_Factor</f>
        <v>1</v>
      </c>
      <c r="H17" s="51"/>
      <c r="I17" s="3"/>
      <c r="J17" s="3"/>
      <c r="K17" s="3"/>
      <c r="L17" s="3"/>
      <c r="M17" s="3"/>
      <c r="N17" s="3"/>
      <c r="O17" s="3"/>
      <c r="P17" s="3"/>
      <c r="Q17" s="3"/>
      <c r="R17" s="3"/>
    </row>
    <row r="18" spans="2:22" ht="15" customHeight="1" x14ac:dyDescent="0.2"/>
    <row r="19" spans="2:22" ht="15" x14ac:dyDescent="0.2">
      <c r="B19" s="89" t="s">
        <v>105</v>
      </c>
      <c r="C19" s="89"/>
      <c r="D19" s="89"/>
      <c r="E19" s="89"/>
      <c r="F19" s="89"/>
      <c r="G19" s="89"/>
      <c r="H19" s="89"/>
      <c r="I19" s="89"/>
      <c r="J19" s="89"/>
      <c r="K19" s="89"/>
      <c r="L19" s="89"/>
      <c r="M19" s="89"/>
      <c r="N19" s="89"/>
      <c r="O19" s="89"/>
      <c r="P19" s="89"/>
      <c r="Q19" s="89"/>
      <c r="R19" s="89"/>
      <c r="S19" s="89"/>
      <c r="T19" s="89"/>
      <c r="U19" s="88"/>
      <c r="V19" s="88"/>
    </row>
    <row r="20" spans="2:22" ht="95.1" customHeight="1" x14ac:dyDescent="0.2">
      <c r="B20" s="98" t="s">
        <v>9</v>
      </c>
      <c r="C20" s="98" t="s">
        <v>11</v>
      </c>
      <c r="D20" s="97" t="s">
        <v>76</v>
      </c>
      <c r="E20" s="13" t="s">
        <v>228</v>
      </c>
      <c r="F20" s="13" t="s">
        <v>229</v>
      </c>
      <c r="G20" s="13" t="s">
        <v>188</v>
      </c>
      <c r="H20" s="13" t="s">
        <v>230</v>
      </c>
      <c r="I20" s="13" t="s">
        <v>176</v>
      </c>
      <c r="J20" s="13" t="s">
        <v>231</v>
      </c>
      <c r="K20" s="13" t="s">
        <v>177</v>
      </c>
      <c r="L20" s="13" t="s">
        <v>232</v>
      </c>
      <c r="M20" s="12" t="s">
        <v>181</v>
      </c>
      <c r="N20" s="12" t="s">
        <v>180</v>
      </c>
      <c r="O20" s="12" t="s">
        <v>179</v>
      </c>
      <c r="P20" s="12" t="s">
        <v>189</v>
      </c>
      <c r="Q20" s="97" t="s">
        <v>60</v>
      </c>
      <c r="R20" s="97" t="s">
        <v>61</v>
      </c>
      <c r="S20" s="97" t="s">
        <v>62</v>
      </c>
      <c r="T20" s="97" t="s">
        <v>63</v>
      </c>
    </row>
    <row r="21" spans="2:22" ht="15" customHeight="1" x14ac:dyDescent="0.2">
      <c r="B21" s="99" t="s">
        <v>172</v>
      </c>
      <c r="C21" s="99" t="str">
        <f>C_Compound_Name</f>
        <v>Copper</v>
      </c>
      <c r="D21" s="56">
        <v>100</v>
      </c>
      <c r="E21" s="100">
        <v>2.0025774621963501</v>
      </c>
      <c r="F21" s="100">
        <v>60.569958190918001</v>
      </c>
      <c r="G21" s="100">
        <v>2.3957344361709399E-4</v>
      </c>
      <c r="H21" s="100">
        <v>7.2461384501366398E-3</v>
      </c>
      <c r="I21" s="101" t="e">
        <f t="shared" ref="I21:L22" si="0">((E21/100)*$D21)*(C_Leaching_Conversion_Factor*Application_Conversion_Factor)+C_Background_SW_Freshwater</f>
        <v>#DIV/0!</v>
      </c>
      <c r="J21" s="101" t="e">
        <f t="shared" si="0"/>
        <v>#DIV/0!</v>
      </c>
      <c r="K21" s="101" t="e">
        <f t="shared" si="0"/>
        <v>#DIV/0!</v>
      </c>
      <c r="L21" s="101" t="e">
        <f t="shared" si="0"/>
        <v>#DIV/0!</v>
      </c>
      <c r="M21" s="125">
        <f>C_PNEC_Aquatic_Inside</f>
        <v>7.8</v>
      </c>
      <c r="N21" s="125">
        <f>C_PNEC_Sediment_Inside</f>
        <v>87</v>
      </c>
      <c r="O21" s="125">
        <f>C_PNEC_Aquatic_Surrounding</f>
        <v>7.8</v>
      </c>
      <c r="P21" s="125">
        <f>C_PNEC_Sediment_Surrounding</f>
        <v>87</v>
      </c>
      <c r="Q21" s="101" t="e">
        <f>I21/C_PNEC_Aquatic_Inside</f>
        <v>#DIV/0!</v>
      </c>
      <c r="R21" s="101" t="e">
        <f>J21/C_PNEC_Sediment_Inside</f>
        <v>#DIV/0!</v>
      </c>
      <c r="S21" s="101" t="e">
        <f>K21/C_PNEC_Aquatic_Surrounding</f>
        <v>#DIV/0!</v>
      </c>
      <c r="T21" s="101" t="e">
        <f>L21/C_PNEC_Sediment_Surrounding</f>
        <v>#DIV/0!</v>
      </c>
    </row>
    <row r="22" spans="2:22" ht="15" customHeight="1" x14ac:dyDescent="0.2">
      <c r="B22" s="99" t="s">
        <v>173</v>
      </c>
      <c r="C22" s="99" t="str">
        <f>C_Compound_Name</f>
        <v>Copper</v>
      </c>
      <c r="D22" s="56">
        <v>100</v>
      </c>
      <c r="E22" s="100">
        <v>2.3537247541546802</v>
      </c>
      <c r="F22" s="100">
        <v>71.190760059356705</v>
      </c>
      <c r="G22" s="100">
        <v>4.3053485229893303E-3</v>
      </c>
      <c r="H22" s="100">
        <v>0.130219572746792</v>
      </c>
      <c r="I22" s="101" t="e">
        <f t="shared" si="0"/>
        <v>#DIV/0!</v>
      </c>
      <c r="J22" s="101" t="e">
        <f t="shared" si="0"/>
        <v>#DIV/0!</v>
      </c>
      <c r="K22" s="101" t="e">
        <f t="shared" si="0"/>
        <v>#DIV/0!</v>
      </c>
      <c r="L22" s="101" t="e">
        <f t="shared" si="0"/>
        <v>#DIV/0!</v>
      </c>
      <c r="M22" s="125">
        <f>C_PNEC_Aquatic_Inside</f>
        <v>7.8</v>
      </c>
      <c r="N22" s="125">
        <f>C_PNEC_Sediment_Inside</f>
        <v>87</v>
      </c>
      <c r="O22" s="125">
        <f>C_PNEC_Aquatic_Surrounding</f>
        <v>7.8</v>
      </c>
      <c r="P22" s="125">
        <f>C_PNEC_Sediment_Surrounding</f>
        <v>87</v>
      </c>
      <c r="Q22" s="101" t="e">
        <f>I22/C_PNEC_Aquatic_Inside</f>
        <v>#DIV/0!</v>
      </c>
      <c r="R22" s="101" t="e">
        <f>J22/C_PNEC_Sediment_Inside</f>
        <v>#DIV/0!</v>
      </c>
      <c r="S22" s="101" t="e">
        <f>K22/C_PNEC_Aquatic_Surrounding</f>
        <v>#DIV/0!</v>
      </c>
      <c r="T22" s="101" t="e">
        <f>L22/C_PNEC_Sediment_Surrounding</f>
        <v>#DIV/0!</v>
      </c>
    </row>
  </sheetData>
  <mergeCells count="3">
    <mergeCell ref="B2:R2"/>
    <mergeCell ref="B4:H4"/>
    <mergeCell ref="B13:H13"/>
  </mergeCells>
  <pageMargins left="0.7" right="0.7" top="0.75" bottom="0.75" header="0.3" footer="0.3"/>
  <pageSetup paperSize="9"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2:V74"/>
  <sheetViews>
    <sheetView zoomScale="90" zoomScaleNormal="90" workbookViewId="0"/>
  </sheetViews>
  <sheetFormatPr defaultRowHeight="12.75" x14ac:dyDescent="0.2"/>
  <cols>
    <col min="1" max="1" width="9" style="3"/>
    <col min="2" max="2" width="21.125" style="3" customWidth="1"/>
    <col min="3" max="3" width="3.875" style="3" bestFit="1" customWidth="1"/>
    <col min="4" max="4" width="5.75" style="3" bestFit="1" customWidth="1"/>
    <col min="5" max="5" width="28.625" style="3" customWidth="1"/>
    <col min="6" max="6" width="13.625" style="3" bestFit="1" customWidth="1"/>
    <col min="7" max="14" width="15.625" style="3" customWidth="1"/>
    <col min="15" max="18" width="11.625" style="3" customWidth="1"/>
    <col min="19" max="19" width="14.5" style="3" bestFit="1" customWidth="1"/>
    <col min="20" max="20" width="18.375" style="3" bestFit="1" customWidth="1"/>
    <col min="21" max="22" width="14.5" style="3" bestFit="1" customWidth="1"/>
    <col min="23" max="16384" width="9" style="3"/>
  </cols>
  <sheetData>
    <row r="2" spans="2:18" ht="21" customHeight="1" thickBot="1" x14ac:dyDescent="0.35">
      <c r="B2" s="196" t="s">
        <v>103</v>
      </c>
      <c r="C2" s="196"/>
      <c r="D2" s="196"/>
      <c r="E2" s="196"/>
      <c r="F2" s="196"/>
      <c r="G2" s="196"/>
      <c r="H2" s="196"/>
      <c r="I2" s="196"/>
      <c r="J2" s="196"/>
      <c r="K2" s="196"/>
      <c r="L2" s="196"/>
      <c r="M2" s="196"/>
      <c r="N2" s="196"/>
      <c r="O2" s="196"/>
      <c r="P2" s="196"/>
      <c r="Q2" s="196"/>
      <c r="R2" s="196"/>
    </row>
    <row r="3" spans="2:18" ht="15" customHeight="1" thickTop="1" x14ac:dyDescent="0.2">
      <c r="B3" s="148" t="str">
        <f>Tooltype</f>
        <v>Freshwater calculator tool</v>
      </c>
    </row>
    <row r="4" spans="2:18" ht="15" customHeight="1" thickBot="1" x14ac:dyDescent="0.35">
      <c r="B4" s="198" t="s">
        <v>49</v>
      </c>
      <c r="C4" s="198"/>
      <c r="D4" s="198"/>
      <c r="E4" s="198"/>
      <c r="F4" s="198"/>
      <c r="G4" s="198"/>
      <c r="H4" s="198"/>
      <c r="K4" s="198" t="s">
        <v>249</v>
      </c>
      <c r="L4" s="198"/>
      <c r="M4" s="198"/>
      <c r="N4" s="198"/>
      <c r="O4" s="198"/>
      <c r="P4" s="198"/>
      <c r="Q4" s="198"/>
    </row>
    <row r="5" spans="2:18" ht="15" customHeight="1" thickTop="1" x14ac:dyDescent="0.2"/>
    <row r="6" spans="2:18" ht="15" customHeight="1" x14ac:dyDescent="0.2">
      <c r="B6" s="3" t="s">
        <v>69</v>
      </c>
      <c r="G6" s="53">
        <v>2.5</v>
      </c>
      <c r="H6" s="28" t="s">
        <v>166</v>
      </c>
      <c r="K6" s="6" t="s">
        <v>251</v>
      </c>
      <c r="P6" s="57">
        <f>WSA_OECD_default</f>
        <v>30.7</v>
      </c>
      <c r="Q6" s="6" t="s">
        <v>227</v>
      </c>
    </row>
    <row r="7" spans="2:18" ht="15" customHeight="1" x14ac:dyDescent="0.2">
      <c r="B7" s="3" t="s">
        <v>54</v>
      </c>
      <c r="G7" s="3">
        <f>P_Average_biocide_release_over_the_lifetime_of_the_paint_M</f>
        <v>0</v>
      </c>
      <c r="H7" s="28" t="s">
        <v>166</v>
      </c>
      <c r="K7" s="6" t="s">
        <v>250</v>
      </c>
      <c r="P7" s="158">
        <f>WSA_freshwater</f>
        <v>22</v>
      </c>
      <c r="Q7" s="6" t="s">
        <v>227</v>
      </c>
    </row>
    <row r="8" spans="2:18" ht="15" customHeight="1" x14ac:dyDescent="0.2">
      <c r="B8" s="3" t="s">
        <v>55</v>
      </c>
      <c r="G8" s="37" t="e">
        <f>P_Average_biocide_release_over_the_lifetime_of_the_paint_C</f>
        <v>#DIV/0!</v>
      </c>
      <c r="H8" s="28" t="s">
        <v>166</v>
      </c>
      <c r="K8" s="3" t="s">
        <v>50</v>
      </c>
      <c r="P8" s="37">
        <f>WSA_ConversionFactor</f>
        <v>0.71661237785016285</v>
      </c>
      <c r="Q8" s="109" t="s">
        <v>2</v>
      </c>
    </row>
    <row r="9" spans="2:18" ht="15" customHeight="1" x14ac:dyDescent="0.2">
      <c r="B9" s="3" t="s">
        <v>53</v>
      </c>
      <c r="G9" s="40">
        <f>IF(ISBLANK(P_Average_biocide_release_over_the_lifetime_of_the_paint_M),1,0)</f>
        <v>1</v>
      </c>
      <c r="H9" s="28"/>
    </row>
    <row r="10" spans="2:18" ht="15" customHeight="1" x14ac:dyDescent="0.2">
      <c r="B10" s="3" t="s">
        <v>52</v>
      </c>
      <c r="G10" s="37" t="e">
        <f>IF((G9&lt;1),P_Average_biocide_release_over_the_lifetime_of_the_paint_M,P_Average_biocide_release_over_the_lifetime_of_the_paint_C)</f>
        <v>#DIV/0!</v>
      </c>
      <c r="H10" s="28" t="s">
        <v>166</v>
      </c>
    </row>
    <row r="11" spans="2:18" ht="15" customHeight="1" x14ac:dyDescent="0.2">
      <c r="B11" s="3" t="s">
        <v>50</v>
      </c>
      <c r="G11" s="37" t="e">
        <f>G10/G6</f>
        <v>#DIV/0!</v>
      </c>
      <c r="H11" s="3" t="s">
        <v>2</v>
      </c>
    </row>
    <row r="12" spans="2:18" ht="15" customHeight="1" x14ac:dyDescent="0.2">
      <c r="G12" s="37"/>
    </row>
    <row r="13" spans="2:18" ht="15" customHeight="1" thickBot="1" x14ac:dyDescent="0.35">
      <c r="B13" s="198" t="s">
        <v>68</v>
      </c>
      <c r="C13" s="198"/>
      <c r="D13" s="198"/>
      <c r="E13" s="198"/>
      <c r="F13" s="198"/>
      <c r="G13" s="198"/>
      <c r="H13" s="198"/>
    </row>
    <row r="14" spans="2:18" ht="15" customHeight="1" thickTop="1" x14ac:dyDescent="0.2"/>
    <row r="15" spans="2:18" ht="15" customHeight="1" x14ac:dyDescent="0.2">
      <c r="B15" s="3" t="s">
        <v>75</v>
      </c>
      <c r="G15" s="159">
        <v>0.9</v>
      </c>
    </row>
    <row r="16" spans="2:18" ht="15" customHeight="1" x14ac:dyDescent="0.2">
      <c r="B16" s="3" t="s">
        <v>70</v>
      </c>
      <c r="G16" s="37">
        <f>Application_Factor</f>
        <v>0.9</v>
      </c>
    </row>
    <row r="17" spans="2:22" ht="15" customHeight="1" x14ac:dyDescent="0.2">
      <c r="B17" s="3" t="s">
        <v>50</v>
      </c>
      <c r="G17" s="37">
        <f>Application_Conversion_Factor</f>
        <v>1</v>
      </c>
      <c r="H17" s="51"/>
    </row>
    <row r="18" spans="2:22" ht="15" customHeight="1" x14ac:dyDescent="0.2"/>
    <row r="19" spans="2:22" ht="15" x14ac:dyDescent="0.2">
      <c r="B19" s="193" t="s">
        <v>83</v>
      </c>
      <c r="C19" s="193"/>
      <c r="D19" s="193"/>
      <c r="E19" s="193"/>
      <c r="F19" s="193"/>
      <c r="G19" s="193"/>
      <c r="H19" s="193"/>
      <c r="I19" s="193"/>
      <c r="J19" s="193"/>
      <c r="K19" s="193"/>
      <c r="L19" s="193"/>
      <c r="M19" s="193"/>
      <c r="N19" s="193"/>
      <c r="O19" s="193"/>
      <c r="P19" s="193"/>
      <c r="Q19" s="193"/>
      <c r="R19" s="193"/>
      <c r="S19" s="193"/>
      <c r="T19" s="193"/>
      <c r="U19" s="193"/>
      <c r="V19" s="193"/>
    </row>
    <row r="20" spans="2:22" ht="95.1" customHeight="1" x14ac:dyDescent="0.2">
      <c r="B20" s="114" t="s">
        <v>9</v>
      </c>
      <c r="C20" s="93" t="s">
        <v>187</v>
      </c>
      <c r="D20" s="93" t="s">
        <v>186</v>
      </c>
      <c r="E20" s="114" t="s">
        <v>11</v>
      </c>
      <c r="F20" s="12" t="s">
        <v>76</v>
      </c>
      <c r="G20" s="13" t="s">
        <v>228</v>
      </c>
      <c r="H20" s="13" t="s">
        <v>229</v>
      </c>
      <c r="I20" s="13" t="s">
        <v>188</v>
      </c>
      <c r="J20" s="13" t="s">
        <v>230</v>
      </c>
      <c r="K20" s="13" t="s">
        <v>176</v>
      </c>
      <c r="L20" s="13" t="s">
        <v>231</v>
      </c>
      <c r="M20" s="13" t="s">
        <v>177</v>
      </c>
      <c r="N20" s="13" t="s">
        <v>232</v>
      </c>
      <c r="O20" s="12" t="s">
        <v>181</v>
      </c>
      <c r="P20" s="12" t="s">
        <v>180</v>
      </c>
      <c r="Q20" s="12" t="s">
        <v>179</v>
      </c>
      <c r="R20" s="12" t="s">
        <v>189</v>
      </c>
      <c r="S20" s="12" t="s">
        <v>60</v>
      </c>
      <c r="T20" s="12" t="s">
        <v>61</v>
      </c>
      <c r="U20" s="12" t="s">
        <v>62</v>
      </c>
      <c r="V20" s="12" t="s">
        <v>63</v>
      </c>
    </row>
    <row r="21" spans="2:22" ht="14.25" customHeight="1" x14ac:dyDescent="0.2">
      <c r="B21" s="96" t="s">
        <v>106</v>
      </c>
      <c r="C21" s="117" t="s">
        <v>107</v>
      </c>
      <c r="D21" s="117">
        <v>1</v>
      </c>
      <c r="E21" s="96" t="str">
        <f t="shared" ref="E21:E66" si="0">P_Compound_Name</f>
        <v>Pyrithione</v>
      </c>
      <c r="F21" s="56">
        <v>220</v>
      </c>
      <c r="G21" s="100">
        <v>90.997229709625202</v>
      </c>
      <c r="H21" s="100">
        <v>8.6664029896259294</v>
      </c>
      <c r="I21" s="100">
        <v>3.8670478948915799E-3</v>
      </c>
      <c r="J21" s="100">
        <v>3.6829028281924102E-4</v>
      </c>
      <c r="K21" s="54" t="e">
        <f t="shared" ref="K21:K66" si="1">((($F21/100)*$G21)*P_Leaching_Conversion_Factor*Application_Conversion_Factor*WSA_ConversionFactor)+P_Background_SW_Freshwater</f>
        <v>#DIV/0!</v>
      </c>
      <c r="L21" s="54" t="e">
        <f t="shared" ref="L21:L66" si="2">((($F21/100)*$H21)*P_Leaching_Conversion_Factor*Application_Conversion_Factor*WSA_ConversionFactor)+P_Background_Sed_Freshwater</f>
        <v>#DIV/0!</v>
      </c>
      <c r="M21" s="54" t="e">
        <f t="shared" ref="M21:M66" si="3">((($F21/100)*$I21)*P_Leaching_Conversion_Factor*Application_Conversion_Factor*WSA_ConversionFactor)+P_Background_SW_Freshwater</f>
        <v>#DIV/0!</v>
      </c>
      <c r="N21" s="54" t="e">
        <f t="shared" ref="N21:N66" si="4">((($F21/100)*$J21)*P_Leaching_Conversion_Factor*Application_Conversion_Factor*WSA_ConversionFactor)+P_Background_Sed_Freshwater</f>
        <v>#DIV/0!</v>
      </c>
      <c r="O21" s="200">
        <f>P_PNEC_Aquatic_Inside</f>
        <v>1.7600000000000001E-2</v>
      </c>
      <c r="P21" s="200">
        <f>P_PNEC_Sediment_Inside</f>
        <v>8.5000000000000006E-3</v>
      </c>
      <c r="Q21" s="200">
        <f>P_PNEC_Aquatic_Surrounding</f>
        <v>1.7600000000000001E-2</v>
      </c>
      <c r="R21" s="200">
        <f>P_PNEC_Sediment_Surrounding</f>
        <v>8.5000000000000006E-3</v>
      </c>
      <c r="S21" s="73" t="e">
        <f t="shared" ref="S21:S66" si="5">$K21/P_PNEC_Aquatic_Inside</f>
        <v>#DIV/0!</v>
      </c>
      <c r="T21" s="73" t="e">
        <f t="shared" ref="T21:T66" si="6">$L21/P_PNEC_Sediment_Inside</f>
        <v>#DIV/0!</v>
      </c>
      <c r="U21" s="73" t="e">
        <f t="shared" ref="U21:U66" si="7">$M21/P_PNEC_Aquatic_Surrounding</f>
        <v>#DIV/0!</v>
      </c>
      <c r="V21" s="73" t="e">
        <f t="shared" ref="V21:V66" si="8">$N21/P_PNEC_Sediment_Surrounding</f>
        <v>#DIV/0!</v>
      </c>
    </row>
    <row r="22" spans="2:22" ht="14.25" customHeight="1" x14ac:dyDescent="0.2">
      <c r="B22" s="96" t="s">
        <v>108</v>
      </c>
      <c r="C22" s="117" t="s">
        <v>107</v>
      </c>
      <c r="D22" s="117">
        <v>2</v>
      </c>
      <c r="E22" s="96" t="str">
        <f t="shared" si="0"/>
        <v>Pyrithione</v>
      </c>
      <c r="F22" s="56">
        <v>252</v>
      </c>
      <c r="G22" s="100">
        <v>80.025900125503597</v>
      </c>
      <c r="H22" s="100">
        <v>7.6215144479274803</v>
      </c>
      <c r="I22" s="100">
        <v>5.3389085640083104E-3</v>
      </c>
      <c r="J22" s="100">
        <v>5.0846749248800401E-4</v>
      </c>
      <c r="K22" s="54" t="e">
        <f t="shared" si="1"/>
        <v>#DIV/0!</v>
      </c>
      <c r="L22" s="54" t="e">
        <f t="shared" si="2"/>
        <v>#DIV/0!</v>
      </c>
      <c r="M22" s="54" t="e">
        <f t="shared" si="3"/>
        <v>#DIV/0!</v>
      </c>
      <c r="N22" s="54" t="e">
        <f t="shared" si="4"/>
        <v>#DIV/0!</v>
      </c>
      <c r="O22" s="200"/>
      <c r="P22" s="200"/>
      <c r="Q22" s="200"/>
      <c r="R22" s="200"/>
      <c r="S22" s="73" t="e">
        <f t="shared" si="5"/>
        <v>#DIV/0!</v>
      </c>
      <c r="T22" s="73" t="e">
        <f t="shared" si="6"/>
        <v>#DIV/0!</v>
      </c>
      <c r="U22" s="73" t="e">
        <f t="shared" si="7"/>
        <v>#DIV/0!</v>
      </c>
      <c r="V22" s="73" t="e">
        <f t="shared" si="8"/>
        <v>#DIV/0!</v>
      </c>
    </row>
    <row r="23" spans="2:22" ht="14.25" customHeight="1" x14ac:dyDescent="0.2">
      <c r="B23" s="96" t="s">
        <v>109</v>
      </c>
      <c r="C23" s="117" t="s">
        <v>107</v>
      </c>
      <c r="D23" s="117">
        <v>3</v>
      </c>
      <c r="E23" s="96" t="str">
        <f t="shared" si="0"/>
        <v>Pyrithione</v>
      </c>
      <c r="F23" s="56">
        <v>330</v>
      </c>
      <c r="G23" s="100">
        <v>19.166495139598801</v>
      </c>
      <c r="H23" s="100">
        <v>7.6665976035594898</v>
      </c>
      <c r="I23" s="100">
        <v>6.0921323852865797E-3</v>
      </c>
      <c r="J23" s="100">
        <v>2.4368528075501702E-3</v>
      </c>
      <c r="K23" s="54" t="e">
        <f t="shared" si="1"/>
        <v>#DIV/0!</v>
      </c>
      <c r="L23" s="54" t="e">
        <f t="shared" si="2"/>
        <v>#DIV/0!</v>
      </c>
      <c r="M23" s="54" t="e">
        <f t="shared" si="3"/>
        <v>#DIV/0!</v>
      </c>
      <c r="N23" s="54" t="e">
        <f t="shared" si="4"/>
        <v>#DIV/0!</v>
      </c>
      <c r="O23" s="200"/>
      <c r="P23" s="200"/>
      <c r="Q23" s="200"/>
      <c r="R23" s="200"/>
      <c r="S23" s="73" t="e">
        <f t="shared" si="5"/>
        <v>#DIV/0!</v>
      </c>
      <c r="T23" s="73" t="e">
        <f t="shared" si="6"/>
        <v>#DIV/0!</v>
      </c>
      <c r="U23" s="73" t="e">
        <f t="shared" si="7"/>
        <v>#DIV/0!</v>
      </c>
      <c r="V23" s="73" t="e">
        <f t="shared" si="8"/>
        <v>#DIV/0!</v>
      </c>
    </row>
    <row r="24" spans="2:22" ht="14.25" customHeight="1" x14ac:dyDescent="0.2">
      <c r="B24" s="96" t="s">
        <v>110</v>
      </c>
      <c r="C24" s="117" t="s">
        <v>107</v>
      </c>
      <c r="D24" s="117">
        <v>4</v>
      </c>
      <c r="E24" s="96" t="str">
        <f t="shared" si="0"/>
        <v>Pyrithione</v>
      </c>
      <c r="F24" s="56">
        <v>577</v>
      </c>
      <c r="G24" s="100">
        <v>34.894041213989297</v>
      </c>
      <c r="H24" s="100">
        <v>13.957615633010899</v>
      </c>
      <c r="I24" s="100">
        <v>5.7781189625772302E-3</v>
      </c>
      <c r="J24" s="100">
        <v>2.3112474541752202E-3</v>
      </c>
      <c r="K24" s="54" t="e">
        <f t="shared" si="1"/>
        <v>#DIV/0!</v>
      </c>
      <c r="L24" s="54" t="e">
        <f t="shared" si="2"/>
        <v>#DIV/0!</v>
      </c>
      <c r="M24" s="54" t="e">
        <f t="shared" si="3"/>
        <v>#DIV/0!</v>
      </c>
      <c r="N24" s="54" t="e">
        <f t="shared" si="4"/>
        <v>#DIV/0!</v>
      </c>
      <c r="O24" s="200"/>
      <c r="P24" s="200"/>
      <c r="Q24" s="200"/>
      <c r="R24" s="200"/>
      <c r="S24" s="73" t="e">
        <f t="shared" si="5"/>
        <v>#DIV/0!</v>
      </c>
      <c r="T24" s="73" t="e">
        <f t="shared" si="6"/>
        <v>#DIV/0!</v>
      </c>
      <c r="U24" s="73" t="e">
        <f t="shared" si="7"/>
        <v>#DIV/0!</v>
      </c>
      <c r="V24" s="73" t="e">
        <f t="shared" si="8"/>
        <v>#DIV/0!</v>
      </c>
    </row>
    <row r="25" spans="2:22" ht="14.25" customHeight="1" x14ac:dyDescent="0.2">
      <c r="B25" s="96" t="s">
        <v>111</v>
      </c>
      <c r="C25" s="117" t="s">
        <v>107</v>
      </c>
      <c r="D25" s="117">
        <v>5</v>
      </c>
      <c r="E25" s="96" t="str">
        <f t="shared" si="0"/>
        <v>Pyrithione</v>
      </c>
      <c r="F25" s="56">
        <v>100</v>
      </c>
      <c r="G25" s="100">
        <v>72.389625482559197</v>
      </c>
      <c r="H25" s="100">
        <v>11.7388587343693</v>
      </c>
      <c r="I25" s="100">
        <v>2.5143125115330801E-3</v>
      </c>
      <c r="J25" s="100">
        <v>4.0772637084651497E-4</v>
      </c>
      <c r="K25" s="54" t="e">
        <f t="shared" si="1"/>
        <v>#DIV/0!</v>
      </c>
      <c r="L25" s="54" t="e">
        <f t="shared" si="2"/>
        <v>#DIV/0!</v>
      </c>
      <c r="M25" s="54" t="e">
        <f t="shared" si="3"/>
        <v>#DIV/0!</v>
      </c>
      <c r="N25" s="54" t="e">
        <f t="shared" si="4"/>
        <v>#DIV/0!</v>
      </c>
      <c r="O25" s="200"/>
      <c r="P25" s="200"/>
      <c r="Q25" s="200"/>
      <c r="R25" s="200"/>
      <c r="S25" s="73" t="e">
        <f t="shared" si="5"/>
        <v>#DIV/0!</v>
      </c>
      <c r="T25" s="73" t="e">
        <f t="shared" si="6"/>
        <v>#DIV/0!</v>
      </c>
      <c r="U25" s="73" t="e">
        <f t="shared" si="7"/>
        <v>#DIV/0!</v>
      </c>
      <c r="V25" s="73" t="e">
        <f t="shared" si="8"/>
        <v>#DIV/0!</v>
      </c>
    </row>
    <row r="26" spans="2:22" ht="14.25" customHeight="1" x14ac:dyDescent="0.2">
      <c r="B26" s="96" t="s">
        <v>112</v>
      </c>
      <c r="C26" s="117" t="s">
        <v>107</v>
      </c>
      <c r="D26" s="117">
        <v>6</v>
      </c>
      <c r="E26" s="96" t="str">
        <f t="shared" si="0"/>
        <v>Pyrithione</v>
      </c>
      <c r="F26" s="56">
        <v>260</v>
      </c>
      <c r="G26" s="100">
        <v>65.287298021316502</v>
      </c>
      <c r="H26" s="100">
        <v>10.587129914760601</v>
      </c>
      <c r="I26" s="100">
        <v>1.0183585381048101E-3</v>
      </c>
      <c r="J26" s="100">
        <v>1.65139229446872E-4</v>
      </c>
      <c r="K26" s="54" t="e">
        <f t="shared" si="1"/>
        <v>#DIV/0!</v>
      </c>
      <c r="L26" s="54" t="e">
        <f t="shared" si="2"/>
        <v>#DIV/0!</v>
      </c>
      <c r="M26" s="54" t="e">
        <f t="shared" si="3"/>
        <v>#DIV/0!</v>
      </c>
      <c r="N26" s="54" t="e">
        <f t="shared" si="4"/>
        <v>#DIV/0!</v>
      </c>
      <c r="O26" s="200"/>
      <c r="P26" s="200"/>
      <c r="Q26" s="200"/>
      <c r="R26" s="200"/>
      <c r="S26" s="73" t="e">
        <f t="shared" si="5"/>
        <v>#DIV/0!</v>
      </c>
      <c r="T26" s="73" t="e">
        <f t="shared" si="6"/>
        <v>#DIV/0!</v>
      </c>
      <c r="U26" s="73" t="e">
        <f t="shared" si="7"/>
        <v>#DIV/0!</v>
      </c>
      <c r="V26" s="73" t="e">
        <f t="shared" si="8"/>
        <v>#DIV/0!</v>
      </c>
    </row>
    <row r="27" spans="2:22" ht="14.25" customHeight="1" x14ac:dyDescent="0.2">
      <c r="B27" s="96" t="s">
        <v>113</v>
      </c>
      <c r="C27" s="117" t="s">
        <v>107</v>
      </c>
      <c r="D27" s="117">
        <v>7</v>
      </c>
      <c r="E27" s="96" t="str">
        <f t="shared" si="0"/>
        <v>Pyrithione</v>
      </c>
      <c r="F27" s="56">
        <v>168</v>
      </c>
      <c r="G27" s="100">
        <v>66.393341455459606</v>
      </c>
      <c r="H27" s="100">
        <v>10.7664883208275</v>
      </c>
      <c r="I27" s="100">
        <v>5.5154747172491596E-3</v>
      </c>
      <c r="J27" s="100">
        <v>8.9440134738348804E-4</v>
      </c>
      <c r="K27" s="54" t="e">
        <f t="shared" si="1"/>
        <v>#DIV/0!</v>
      </c>
      <c r="L27" s="54" t="e">
        <f t="shared" si="2"/>
        <v>#DIV/0!</v>
      </c>
      <c r="M27" s="54" t="e">
        <f t="shared" si="3"/>
        <v>#DIV/0!</v>
      </c>
      <c r="N27" s="54" t="e">
        <f t="shared" si="4"/>
        <v>#DIV/0!</v>
      </c>
      <c r="O27" s="200"/>
      <c r="P27" s="200"/>
      <c r="Q27" s="200"/>
      <c r="R27" s="200"/>
      <c r="S27" s="73" t="e">
        <f t="shared" si="5"/>
        <v>#DIV/0!</v>
      </c>
      <c r="T27" s="73" t="e">
        <f t="shared" si="6"/>
        <v>#DIV/0!</v>
      </c>
      <c r="U27" s="73" t="e">
        <f t="shared" si="7"/>
        <v>#DIV/0!</v>
      </c>
      <c r="V27" s="73" t="e">
        <f t="shared" si="8"/>
        <v>#DIV/0!</v>
      </c>
    </row>
    <row r="28" spans="2:22" ht="14.25" customHeight="1" x14ac:dyDescent="0.2">
      <c r="B28" s="96" t="s">
        <v>114</v>
      </c>
      <c r="C28" s="117" t="s">
        <v>115</v>
      </c>
      <c r="D28" s="117">
        <v>2</v>
      </c>
      <c r="E28" s="96" t="str">
        <f t="shared" si="0"/>
        <v>Pyrithione</v>
      </c>
      <c r="F28" s="56">
        <v>235</v>
      </c>
      <c r="G28" s="100">
        <v>34.9211155796051</v>
      </c>
      <c r="H28" s="100">
        <v>164.62812515258801</v>
      </c>
      <c r="I28" s="100">
        <v>2.5349250278016702E-4</v>
      </c>
      <c r="J28" s="100">
        <v>1.19503611853361E-3</v>
      </c>
      <c r="K28" s="54" t="e">
        <f t="shared" si="1"/>
        <v>#DIV/0!</v>
      </c>
      <c r="L28" s="54" t="e">
        <f t="shared" si="2"/>
        <v>#DIV/0!</v>
      </c>
      <c r="M28" s="54" t="e">
        <f t="shared" si="3"/>
        <v>#DIV/0!</v>
      </c>
      <c r="N28" s="54" t="e">
        <f t="shared" si="4"/>
        <v>#DIV/0!</v>
      </c>
      <c r="O28" s="200"/>
      <c r="P28" s="200"/>
      <c r="Q28" s="200"/>
      <c r="R28" s="200"/>
      <c r="S28" s="73" t="e">
        <f t="shared" si="5"/>
        <v>#DIV/0!</v>
      </c>
      <c r="T28" s="73" t="e">
        <f t="shared" si="6"/>
        <v>#DIV/0!</v>
      </c>
      <c r="U28" s="73" t="e">
        <f t="shared" si="7"/>
        <v>#DIV/0!</v>
      </c>
      <c r="V28" s="73" t="e">
        <f t="shared" si="8"/>
        <v>#DIV/0!</v>
      </c>
    </row>
    <row r="29" spans="2:22" ht="14.25" customHeight="1" x14ac:dyDescent="0.2">
      <c r="B29" s="96" t="s">
        <v>116</v>
      </c>
      <c r="C29" s="117" t="s">
        <v>115</v>
      </c>
      <c r="D29" s="117">
        <v>3</v>
      </c>
      <c r="E29" s="96" t="str">
        <f t="shared" si="0"/>
        <v>Pyrithione</v>
      </c>
      <c r="F29" s="56">
        <v>175</v>
      </c>
      <c r="G29" s="100">
        <v>70.8536359214783</v>
      </c>
      <c r="H29" s="100">
        <v>334.024295425415</v>
      </c>
      <c r="I29" s="100">
        <v>7.2590511800172005E-4</v>
      </c>
      <c r="J29" s="100">
        <v>3.4221242231797099E-3</v>
      </c>
      <c r="K29" s="54" t="e">
        <f t="shared" si="1"/>
        <v>#DIV/0!</v>
      </c>
      <c r="L29" s="54" t="e">
        <f t="shared" si="2"/>
        <v>#DIV/0!</v>
      </c>
      <c r="M29" s="54" t="e">
        <f t="shared" si="3"/>
        <v>#DIV/0!</v>
      </c>
      <c r="N29" s="54" t="e">
        <f t="shared" si="4"/>
        <v>#DIV/0!</v>
      </c>
      <c r="O29" s="200"/>
      <c r="P29" s="200"/>
      <c r="Q29" s="200"/>
      <c r="R29" s="200"/>
      <c r="S29" s="73" t="e">
        <f t="shared" si="5"/>
        <v>#DIV/0!</v>
      </c>
      <c r="T29" s="73" t="e">
        <f t="shared" si="6"/>
        <v>#DIV/0!</v>
      </c>
      <c r="U29" s="73" t="e">
        <f t="shared" si="7"/>
        <v>#DIV/0!</v>
      </c>
      <c r="V29" s="73" t="e">
        <f t="shared" si="8"/>
        <v>#DIV/0!</v>
      </c>
    </row>
    <row r="30" spans="2:22" ht="14.25" customHeight="1" x14ac:dyDescent="0.2">
      <c r="B30" s="96" t="s">
        <v>117</v>
      </c>
      <c r="C30" s="117" t="s">
        <v>115</v>
      </c>
      <c r="D30" s="117">
        <v>5</v>
      </c>
      <c r="E30" s="96" t="str">
        <f t="shared" si="0"/>
        <v>Pyrithione</v>
      </c>
      <c r="F30" s="56">
        <v>68</v>
      </c>
      <c r="G30" s="100">
        <v>106.82341459274301</v>
      </c>
      <c r="H30" s="100">
        <v>503.59611663818401</v>
      </c>
      <c r="I30" s="100">
        <v>8.84243227713644E-4</v>
      </c>
      <c r="J30" s="100">
        <v>4.1685753349641596E-3</v>
      </c>
      <c r="K30" s="54" t="e">
        <f t="shared" si="1"/>
        <v>#DIV/0!</v>
      </c>
      <c r="L30" s="54" t="e">
        <f t="shared" si="2"/>
        <v>#DIV/0!</v>
      </c>
      <c r="M30" s="54" t="e">
        <f t="shared" si="3"/>
        <v>#DIV/0!</v>
      </c>
      <c r="N30" s="54" t="e">
        <f t="shared" si="4"/>
        <v>#DIV/0!</v>
      </c>
      <c r="O30" s="200"/>
      <c r="P30" s="200"/>
      <c r="Q30" s="200"/>
      <c r="R30" s="200"/>
      <c r="S30" s="73" t="e">
        <f t="shared" si="5"/>
        <v>#DIV/0!</v>
      </c>
      <c r="T30" s="73" t="e">
        <f t="shared" si="6"/>
        <v>#DIV/0!</v>
      </c>
      <c r="U30" s="73" t="e">
        <f t="shared" si="7"/>
        <v>#DIV/0!</v>
      </c>
      <c r="V30" s="73" t="e">
        <f t="shared" si="8"/>
        <v>#DIV/0!</v>
      </c>
    </row>
    <row r="31" spans="2:22" ht="14.25" customHeight="1" x14ac:dyDescent="0.2">
      <c r="B31" s="96" t="s">
        <v>118</v>
      </c>
      <c r="C31" s="117" t="s">
        <v>115</v>
      </c>
      <c r="D31" s="117">
        <v>6</v>
      </c>
      <c r="E31" s="96" t="str">
        <f t="shared" si="0"/>
        <v>Pyrithione</v>
      </c>
      <c r="F31" s="56">
        <v>137</v>
      </c>
      <c r="G31" s="100">
        <v>10.1896846854687</v>
      </c>
      <c r="H31" s="100">
        <v>48.037086396217397</v>
      </c>
      <c r="I31" s="100">
        <v>9.6310994663667798E-4</v>
      </c>
      <c r="J31" s="100">
        <v>4.54037560012542E-3</v>
      </c>
      <c r="K31" s="54" t="e">
        <f t="shared" si="1"/>
        <v>#DIV/0!</v>
      </c>
      <c r="L31" s="54" t="e">
        <f t="shared" si="2"/>
        <v>#DIV/0!</v>
      </c>
      <c r="M31" s="54" t="e">
        <f t="shared" si="3"/>
        <v>#DIV/0!</v>
      </c>
      <c r="N31" s="54" t="e">
        <f t="shared" si="4"/>
        <v>#DIV/0!</v>
      </c>
      <c r="O31" s="200"/>
      <c r="P31" s="200"/>
      <c r="Q31" s="200"/>
      <c r="R31" s="200"/>
      <c r="S31" s="73" t="e">
        <f t="shared" si="5"/>
        <v>#DIV/0!</v>
      </c>
      <c r="T31" s="73" t="e">
        <f t="shared" si="6"/>
        <v>#DIV/0!</v>
      </c>
      <c r="U31" s="73" t="e">
        <f t="shared" si="7"/>
        <v>#DIV/0!</v>
      </c>
      <c r="V31" s="73" t="e">
        <f t="shared" si="8"/>
        <v>#DIV/0!</v>
      </c>
    </row>
    <row r="32" spans="2:22" ht="14.25" customHeight="1" x14ac:dyDescent="0.2">
      <c r="B32" s="96" t="s">
        <v>119</v>
      </c>
      <c r="C32" s="117" t="s">
        <v>115</v>
      </c>
      <c r="D32" s="117">
        <v>11</v>
      </c>
      <c r="E32" s="96" t="str">
        <f t="shared" si="0"/>
        <v>Pyrithione</v>
      </c>
      <c r="F32" s="56">
        <v>50</v>
      </c>
      <c r="G32" s="100">
        <v>850.02515197753905</v>
      </c>
      <c r="H32" s="100">
        <v>4007.26154846191</v>
      </c>
      <c r="I32" s="100">
        <v>1.1335662799744301E-3</v>
      </c>
      <c r="J32" s="100">
        <v>5.3439554926929603E-3</v>
      </c>
      <c r="K32" s="54" t="e">
        <f t="shared" si="1"/>
        <v>#DIV/0!</v>
      </c>
      <c r="L32" s="54" t="e">
        <f t="shared" si="2"/>
        <v>#DIV/0!</v>
      </c>
      <c r="M32" s="54" t="e">
        <f t="shared" si="3"/>
        <v>#DIV/0!</v>
      </c>
      <c r="N32" s="54" t="e">
        <f t="shared" si="4"/>
        <v>#DIV/0!</v>
      </c>
      <c r="O32" s="200"/>
      <c r="P32" s="200"/>
      <c r="Q32" s="200"/>
      <c r="R32" s="200"/>
      <c r="S32" s="73" t="e">
        <f t="shared" si="5"/>
        <v>#DIV/0!</v>
      </c>
      <c r="T32" s="73" t="e">
        <f t="shared" si="6"/>
        <v>#DIV/0!</v>
      </c>
      <c r="U32" s="73" t="e">
        <f t="shared" si="7"/>
        <v>#DIV/0!</v>
      </c>
      <c r="V32" s="73" t="e">
        <f t="shared" si="8"/>
        <v>#DIV/0!</v>
      </c>
    </row>
    <row r="33" spans="2:22" ht="14.25" customHeight="1" x14ac:dyDescent="0.2">
      <c r="B33" s="96" t="s">
        <v>120</v>
      </c>
      <c r="C33" s="117" t="s">
        <v>115</v>
      </c>
      <c r="D33" s="117">
        <v>12</v>
      </c>
      <c r="E33" s="96" t="str">
        <f t="shared" si="0"/>
        <v>Pyrithione</v>
      </c>
      <c r="F33" s="56">
        <v>1000</v>
      </c>
      <c r="G33" s="100">
        <v>23.687213087081901</v>
      </c>
      <c r="H33" s="100">
        <v>111.668293685913</v>
      </c>
      <c r="I33" s="100">
        <v>4.0101239023745901E-4</v>
      </c>
      <c r="J33" s="100">
        <v>1.89048702721266E-3</v>
      </c>
      <c r="K33" s="54" t="e">
        <f t="shared" si="1"/>
        <v>#DIV/0!</v>
      </c>
      <c r="L33" s="54" t="e">
        <f t="shared" si="2"/>
        <v>#DIV/0!</v>
      </c>
      <c r="M33" s="54" t="e">
        <f t="shared" si="3"/>
        <v>#DIV/0!</v>
      </c>
      <c r="N33" s="54" t="e">
        <f t="shared" si="4"/>
        <v>#DIV/0!</v>
      </c>
      <c r="O33" s="200"/>
      <c r="P33" s="200"/>
      <c r="Q33" s="200"/>
      <c r="R33" s="200"/>
      <c r="S33" s="73" t="e">
        <f t="shared" si="5"/>
        <v>#DIV/0!</v>
      </c>
      <c r="T33" s="73" t="e">
        <f t="shared" si="6"/>
        <v>#DIV/0!</v>
      </c>
      <c r="U33" s="73" t="e">
        <f t="shared" si="7"/>
        <v>#DIV/0!</v>
      </c>
      <c r="V33" s="73" t="e">
        <f t="shared" si="8"/>
        <v>#DIV/0!</v>
      </c>
    </row>
    <row r="34" spans="2:22" ht="14.25" customHeight="1" x14ac:dyDescent="0.2">
      <c r="B34" s="96" t="s">
        <v>121</v>
      </c>
      <c r="C34" s="117" t="s">
        <v>12</v>
      </c>
      <c r="D34" s="117" t="s">
        <v>122</v>
      </c>
      <c r="E34" s="96" t="str">
        <f t="shared" si="0"/>
        <v>Pyrithione</v>
      </c>
      <c r="F34" s="56">
        <v>150</v>
      </c>
      <c r="G34" s="100">
        <v>30.111538457870498</v>
      </c>
      <c r="H34" s="100">
        <v>43.016484661102297</v>
      </c>
      <c r="I34" s="100">
        <v>3.6847449936127899E-3</v>
      </c>
      <c r="J34" s="100">
        <v>5.2639215692276298E-3</v>
      </c>
      <c r="K34" s="54" t="e">
        <f t="shared" si="1"/>
        <v>#DIV/0!</v>
      </c>
      <c r="L34" s="54" t="e">
        <f t="shared" si="2"/>
        <v>#DIV/0!</v>
      </c>
      <c r="M34" s="54" t="e">
        <f t="shared" si="3"/>
        <v>#DIV/0!</v>
      </c>
      <c r="N34" s="54" t="e">
        <f t="shared" si="4"/>
        <v>#DIV/0!</v>
      </c>
      <c r="O34" s="200"/>
      <c r="P34" s="200"/>
      <c r="Q34" s="200"/>
      <c r="R34" s="200"/>
      <c r="S34" s="73" t="e">
        <f t="shared" si="5"/>
        <v>#DIV/0!</v>
      </c>
      <c r="T34" s="73" t="e">
        <f t="shared" si="6"/>
        <v>#DIV/0!</v>
      </c>
      <c r="U34" s="73" t="e">
        <f t="shared" si="7"/>
        <v>#DIV/0!</v>
      </c>
      <c r="V34" s="73" t="e">
        <f t="shared" si="8"/>
        <v>#DIV/0!</v>
      </c>
    </row>
    <row r="35" spans="2:22" ht="14.25" customHeight="1" x14ac:dyDescent="0.2">
      <c r="B35" s="96" t="s">
        <v>123</v>
      </c>
      <c r="C35" s="117" t="s">
        <v>12</v>
      </c>
      <c r="D35" s="117" t="s">
        <v>124</v>
      </c>
      <c r="E35" s="96" t="str">
        <f t="shared" si="0"/>
        <v>Pyrithione</v>
      </c>
      <c r="F35" s="56">
        <v>147</v>
      </c>
      <c r="G35" s="100">
        <v>3.57867645740509</v>
      </c>
      <c r="H35" s="100">
        <v>14.003516547679901</v>
      </c>
      <c r="I35" s="100">
        <v>1.1790169393949099E-3</v>
      </c>
      <c r="J35" s="100">
        <v>4.6135445389526297E-3</v>
      </c>
      <c r="K35" s="54" t="e">
        <f t="shared" si="1"/>
        <v>#DIV/0!</v>
      </c>
      <c r="L35" s="54" t="e">
        <f t="shared" si="2"/>
        <v>#DIV/0!</v>
      </c>
      <c r="M35" s="54" t="e">
        <f t="shared" si="3"/>
        <v>#DIV/0!</v>
      </c>
      <c r="N35" s="54" t="e">
        <f t="shared" si="4"/>
        <v>#DIV/0!</v>
      </c>
      <c r="O35" s="200"/>
      <c r="P35" s="200"/>
      <c r="Q35" s="200"/>
      <c r="R35" s="200"/>
      <c r="S35" s="73" t="e">
        <f t="shared" si="5"/>
        <v>#DIV/0!</v>
      </c>
      <c r="T35" s="73" t="e">
        <f t="shared" si="6"/>
        <v>#DIV/0!</v>
      </c>
      <c r="U35" s="73" t="e">
        <f t="shared" si="7"/>
        <v>#DIV/0!</v>
      </c>
      <c r="V35" s="73" t="e">
        <f t="shared" si="8"/>
        <v>#DIV/0!</v>
      </c>
    </row>
    <row r="36" spans="2:22" ht="14.25" customHeight="1" x14ac:dyDescent="0.2">
      <c r="B36" s="96" t="s">
        <v>125</v>
      </c>
      <c r="C36" s="117" t="s">
        <v>12</v>
      </c>
      <c r="D36" s="117" t="s">
        <v>126</v>
      </c>
      <c r="E36" s="96" t="str">
        <f t="shared" si="0"/>
        <v>Pyrithione</v>
      </c>
      <c r="F36" s="56">
        <v>379</v>
      </c>
      <c r="G36" s="100">
        <v>15.396209731101999</v>
      </c>
      <c r="H36" s="100">
        <v>3.8977747052907898</v>
      </c>
      <c r="I36" s="100">
        <v>1.7747070057869999E-3</v>
      </c>
      <c r="J36" s="100">
        <v>4.4929291676188202E-4</v>
      </c>
      <c r="K36" s="54" t="e">
        <f t="shared" si="1"/>
        <v>#DIV/0!</v>
      </c>
      <c r="L36" s="54" t="e">
        <f t="shared" si="2"/>
        <v>#DIV/0!</v>
      </c>
      <c r="M36" s="54" t="e">
        <f t="shared" si="3"/>
        <v>#DIV/0!</v>
      </c>
      <c r="N36" s="54" t="e">
        <f t="shared" si="4"/>
        <v>#DIV/0!</v>
      </c>
      <c r="O36" s="200"/>
      <c r="P36" s="200"/>
      <c r="Q36" s="200"/>
      <c r="R36" s="200"/>
      <c r="S36" s="73" t="e">
        <f t="shared" si="5"/>
        <v>#DIV/0!</v>
      </c>
      <c r="T36" s="73" t="e">
        <f t="shared" si="6"/>
        <v>#DIV/0!</v>
      </c>
      <c r="U36" s="73" t="e">
        <f t="shared" si="7"/>
        <v>#DIV/0!</v>
      </c>
      <c r="V36" s="73" t="e">
        <f t="shared" si="8"/>
        <v>#DIV/0!</v>
      </c>
    </row>
    <row r="37" spans="2:22" ht="14.25" customHeight="1" x14ac:dyDescent="0.2">
      <c r="B37" s="96" t="s">
        <v>127</v>
      </c>
      <c r="C37" s="117" t="s">
        <v>12</v>
      </c>
      <c r="D37" s="117" t="s">
        <v>128</v>
      </c>
      <c r="E37" s="96" t="str">
        <f t="shared" si="0"/>
        <v>Pyrithione</v>
      </c>
      <c r="F37" s="56">
        <v>1550</v>
      </c>
      <c r="G37" s="100">
        <v>1.2918557399511299</v>
      </c>
      <c r="H37" s="100">
        <v>12.9185574054718</v>
      </c>
      <c r="I37" s="100">
        <v>2.0841053175521101E-4</v>
      </c>
      <c r="J37" s="100">
        <v>2.0841053200880799E-3</v>
      </c>
      <c r="K37" s="54" t="e">
        <f t="shared" si="1"/>
        <v>#DIV/0!</v>
      </c>
      <c r="L37" s="54" t="e">
        <f t="shared" si="2"/>
        <v>#DIV/0!</v>
      </c>
      <c r="M37" s="54" t="e">
        <f t="shared" si="3"/>
        <v>#DIV/0!</v>
      </c>
      <c r="N37" s="54" t="e">
        <f t="shared" si="4"/>
        <v>#DIV/0!</v>
      </c>
      <c r="O37" s="200"/>
      <c r="P37" s="200"/>
      <c r="Q37" s="200"/>
      <c r="R37" s="200"/>
      <c r="S37" s="73" t="e">
        <f t="shared" si="5"/>
        <v>#DIV/0!</v>
      </c>
      <c r="T37" s="73" t="e">
        <f t="shared" si="6"/>
        <v>#DIV/0!</v>
      </c>
      <c r="U37" s="73" t="e">
        <f t="shared" si="7"/>
        <v>#DIV/0!</v>
      </c>
      <c r="V37" s="73" t="e">
        <f t="shared" si="8"/>
        <v>#DIV/0!</v>
      </c>
    </row>
    <row r="38" spans="2:22" ht="14.25" customHeight="1" x14ac:dyDescent="0.2">
      <c r="B38" s="96" t="s">
        <v>129</v>
      </c>
      <c r="C38" s="117" t="s">
        <v>12</v>
      </c>
      <c r="D38" s="117" t="s">
        <v>130</v>
      </c>
      <c r="E38" s="96" t="str">
        <f t="shared" si="0"/>
        <v>Pyrithione</v>
      </c>
      <c r="F38" s="56">
        <v>376</v>
      </c>
      <c r="G38" s="100">
        <v>0.452332809045911</v>
      </c>
      <c r="H38" s="100">
        <v>8.1985321533679993</v>
      </c>
      <c r="I38" s="100">
        <v>6.2753641952288894E-5</v>
      </c>
      <c r="J38" s="100">
        <v>1.1374097555688499E-3</v>
      </c>
      <c r="K38" s="54" t="e">
        <f t="shared" si="1"/>
        <v>#DIV/0!</v>
      </c>
      <c r="L38" s="54" t="e">
        <f t="shared" si="2"/>
        <v>#DIV/0!</v>
      </c>
      <c r="M38" s="54" t="e">
        <f t="shared" si="3"/>
        <v>#DIV/0!</v>
      </c>
      <c r="N38" s="54" t="e">
        <f t="shared" si="4"/>
        <v>#DIV/0!</v>
      </c>
      <c r="O38" s="200"/>
      <c r="P38" s="200"/>
      <c r="Q38" s="200"/>
      <c r="R38" s="200"/>
      <c r="S38" s="73" t="e">
        <f t="shared" si="5"/>
        <v>#DIV/0!</v>
      </c>
      <c r="T38" s="73" t="e">
        <f t="shared" si="6"/>
        <v>#DIV/0!</v>
      </c>
      <c r="U38" s="73" t="e">
        <f t="shared" si="7"/>
        <v>#DIV/0!</v>
      </c>
      <c r="V38" s="73" t="e">
        <f t="shared" si="8"/>
        <v>#DIV/0!</v>
      </c>
    </row>
    <row r="39" spans="2:22" ht="14.25" customHeight="1" x14ac:dyDescent="0.2">
      <c r="B39" s="96" t="s">
        <v>131</v>
      </c>
      <c r="C39" s="117" t="s">
        <v>12</v>
      </c>
      <c r="D39" s="117" t="s">
        <v>132</v>
      </c>
      <c r="E39" s="96" t="str">
        <f t="shared" si="0"/>
        <v>Pyrithione</v>
      </c>
      <c r="F39" s="56">
        <v>627</v>
      </c>
      <c r="G39" s="100">
        <v>0.230470898076892</v>
      </c>
      <c r="H39" s="100">
        <v>0.58957672290504004</v>
      </c>
      <c r="I39" s="100">
        <v>4.2834123050160001E-4</v>
      </c>
      <c r="J39" s="100">
        <v>1.0957566495048299E-3</v>
      </c>
      <c r="K39" s="54" t="e">
        <f t="shared" si="1"/>
        <v>#DIV/0!</v>
      </c>
      <c r="L39" s="54" t="e">
        <f t="shared" si="2"/>
        <v>#DIV/0!</v>
      </c>
      <c r="M39" s="54" t="e">
        <f t="shared" si="3"/>
        <v>#DIV/0!</v>
      </c>
      <c r="N39" s="54" t="e">
        <f t="shared" si="4"/>
        <v>#DIV/0!</v>
      </c>
      <c r="O39" s="200"/>
      <c r="P39" s="200"/>
      <c r="Q39" s="200"/>
      <c r="R39" s="200"/>
      <c r="S39" s="73" t="e">
        <f t="shared" si="5"/>
        <v>#DIV/0!</v>
      </c>
      <c r="T39" s="73" t="e">
        <f t="shared" si="6"/>
        <v>#DIV/0!</v>
      </c>
      <c r="U39" s="73" t="e">
        <f t="shared" si="7"/>
        <v>#DIV/0!</v>
      </c>
      <c r="V39" s="73" t="e">
        <f t="shared" si="8"/>
        <v>#DIV/0!</v>
      </c>
    </row>
    <row r="40" spans="2:22" ht="14.25" customHeight="1" x14ac:dyDescent="0.2">
      <c r="B40" s="96" t="s">
        <v>133</v>
      </c>
      <c r="C40" s="117" t="s">
        <v>12</v>
      </c>
      <c r="D40" s="117" t="s">
        <v>134</v>
      </c>
      <c r="E40" s="96" t="str">
        <f t="shared" si="0"/>
        <v>Pyrithione</v>
      </c>
      <c r="F40" s="56">
        <v>80</v>
      </c>
      <c r="G40" s="100">
        <v>8.0508181524276701</v>
      </c>
      <c r="H40" s="100">
        <v>1.5482342846691599</v>
      </c>
      <c r="I40" s="100">
        <v>7.4355542555470796E-3</v>
      </c>
      <c r="J40" s="100">
        <v>1.4299143073003501E-3</v>
      </c>
      <c r="K40" s="54" t="e">
        <f t="shared" si="1"/>
        <v>#DIV/0!</v>
      </c>
      <c r="L40" s="54" t="e">
        <f t="shared" si="2"/>
        <v>#DIV/0!</v>
      </c>
      <c r="M40" s="54" t="e">
        <f t="shared" si="3"/>
        <v>#DIV/0!</v>
      </c>
      <c r="N40" s="54" t="e">
        <f t="shared" si="4"/>
        <v>#DIV/0!</v>
      </c>
      <c r="O40" s="200"/>
      <c r="P40" s="200"/>
      <c r="Q40" s="200"/>
      <c r="R40" s="200"/>
      <c r="S40" s="73" t="e">
        <f t="shared" si="5"/>
        <v>#DIV/0!</v>
      </c>
      <c r="T40" s="73" t="e">
        <f t="shared" si="6"/>
        <v>#DIV/0!</v>
      </c>
      <c r="U40" s="73" t="e">
        <f t="shared" si="7"/>
        <v>#DIV/0!</v>
      </c>
      <c r="V40" s="73" t="e">
        <f t="shared" si="8"/>
        <v>#DIV/0!</v>
      </c>
    </row>
    <row r="41" spans="2:22" ht="14.25" customHeight="1" x14ac:dyDescent="0.2">
      <c r="B41" s="96" t="s">
        <v>135</v>
      </c>
      <c r="C41" s="117" t="s">
        <v>12</v>
      </c>
      <c r="D41" s="117" t="s">
        <v>136</v>
      </c>
      <c r="E41" s="96" t="str">
        <f t="shared" si="0"/>
        <v>Pyrithione</v>
      </c>
      <c r="F41" s="56">
        <v>116</v>
      </c>
      <c r="G41" s="100">
        <v>7.3963543820381199</v>
      </c>
      <c r="H41" s="100">
        <v>1.36969532430172</v>
      </c>
      <c r="I41" s="100">
        <v>9.0145299440579801E-4</v>
      </c>
      <c r="J41" s="100">
        <v>1.6693574733530001E-4</v>
      </c>
      <c r="K41" s="54" t="e">
        <f t="shared" si="1"/>
        <v>#DIV/0!</v>
      </c>
      <c r="L41" s="54" t="e">
        <f t="shared" si="2"/>
        <v>#DIV/0!</v>
      </c>
      <c r="M41" s="54" t="e">
        <f t="shared" si="3"/>
        <v>#DIV/0!</v>
      </c>
      <c r="N41" s="54" t="e">
        <f t="shared" si="4"/>
        <v>#DIV/0!</v>
      </c>
      <c r="O41" s="200"/>
      <c r="P41" s="200"/>
      <c r="Q41" s="200"/>
      <c r="R41" s="200"/>
      <c r="S41" s="73" t="e">
        <f t="shared" si="5"/>
        <v>#DIV/0!</v>
      </c>
      <c r="T41" s="73" t="e">
        <f t="shared" si="6"/>
        <v>#DIV/0!</v>
      </c>
      <c r="U41" s="73" t="e">
        <f t="shared" si="7"/>
        <v>#DIV/0!</v>
      </c>
      <c r="V41" s="73" t="e">
        <f t="shared" si="8"/>
        <v>#DIV/0!</v>
      </c>
    </row>
    <row r="42" spans="2:22" ht="14.25" customHeight="1" x14ac:dyDescent="0.2">
      <c r="B42" s="96" t="s">
        <v>137</v>
      </c>
      <c r="C42" s="117" t="s">
        <v>12</v>
      </c>
      <c r="D42" s="117" t="s">
        <v>138</v>
      </c>
      <c r="E42" s="96" t="str">
        <f t="shared" si="0"/>
        <v>Pyrithione</v>
      </c>
      <c r="F42" s="56">
        <v>80</v>
      </c>
      <c r="G42" s="100">
        <v>34.354686255455</v>
      </c>
      <c r="H42" s="100">
        <v>4809.6560705566399</v>
      </c>
      <c r="I42" s="100">
        <v>6.7640239900356404E-3</v>
      </c>
      <c r="J42" s="100">
        <v>0.94696336028166095</v>
      </c>
      <c r="K42" s="54" t="e">
        <f t="shared" si="1"/>
        <v>#DIV/0!</v>
      </c>
      <c r="L42" s="54" t="e">
        <f t="shared" si="2"/>
        <v>#DIV/0!</v>
      </c>
      <c r="M42" s="54" t="e">
        <f t="shared" si="3"/>
        <v>#DIV/0!</v>
      </c>
      <c r="N42" s="54" t="e">
        <f t="shared" si="4"/>
        <v>#DIV/0!</v>
      </c>
      <c r="O42" s="200"/>
      <c r="P42" s="200"/>
      <c r="Q42" s="200"/>
      <c r="R42" s="200"/>
      <c r="S42" s="73" t="e">
        <f t="shared" si="5"/>
        <v>#DIV/0!</v>
      </c>
      <c r="T42" s="73" t="e">
        <f t="shared" si="6"/>
        <v>#DIV/0!</v>
      </c>
      <c r="U42" s="73" t="e">
        <f t="shared" si="7"/>
        <v>#DIV/0!</v>
      </c>
      <c r="V42" s="73" t="e">
        <f t="shared" si="8"/>
        <v>#DIV/0!</v>
      </c>
    </row>
    <row r="43" spans="2:22" ht="14.25" customHeight="1" x14ac:dyDescent="0.2">
      <c r="B43" s="96" t="s">
        <v>139</v>
      </c>
      <c r="C43" s="117" t="s">
        <v>12</v>
      </c>
      <c r="D43" s="117" t="s">
        <v>140</v>
      </c>
      <c r="E43" s="96" t="str">
        <f t="shared" si="0"/>
        <v>Pyrithione</v>
      </c>
      <c r="F43" s="56">
        <v>12</v>
      </c>
      <c r="G43" s="100">
        <v>5.3364527583122197</v>
      </c>
      <c r="H43" s="100">
        <v>0.40427673455327801</v>
      </c>
      <c r="I43" s="100">
        <v>8.4427071579799891E-3</v>
      </c>
      <c r="J43" s="100">
        <v>6.3959904492549E-4</v>
      </c>
      <c r="K43" s="54" t="e">
        <f t="shared" si="1"/>
        <v>#DIV/0!</v>
      </c>
      <c r="L43" s="54" t="e">
        <f t="shared" si="2"/>
        <v>#DIV/0!</v>
      </c>
      <c r="M43" s="54" t="e">
        <f t="shared" si="3"/>
        <v>#DIV/0!</v>
      </c>
      <c r="N43" s="54" t="e">
        <f t="shared" si="4"/>
        <v>#DIV/0!</v>
      </c>
      <c r="O43" s="200"/>
      <c r="P43" s="200"/>
      <c r="Q43" s="200"/>
      <c r="R43" s="200"/>
      <c r="S43" s="73" t="e">
        <f t="shared" si="5"/>
        <v>#DIV/0!</v>
      </c>
      <c r="T43" s="73" t="e">
        <f t="shared" si="6"/>
        <v>#DIV/0!</v>
      </c>
      <c r="U43" s="73" t="e">
        <f t="shared" si="7"/>
        <v>#DIV/0!</v>
      </c>
      <c r="V43" s="73" t="e">
        <f t="shared" si="8"/>
        <v>#DIV/0!</v>
      </c>
    </row>
    <row r="44" spans="2:22" ht="14.25" customHeight="1" x14ac:dyDescent="0.2">
      <c r="B44" s="96" t="s">
        <v>141</v>
      </c>
      <c r="C44" s="117" t="s">
        <v>13</v>
      </c>
      <c r="D44" s="117">
        <v>1</v>
      </c>
      <c r="E44" s="96" t="str">
        <f t="shared" si="0"/>
        <v>Pyrithione</v>
      </c>
      <c r="F44" s="56">
        <v>200</v>
      </c>
      <c r="G44" s="100">
        <v>89.430623779296894</v>
      </c>
      <c r="H44" s="100">
        <v>59.247785177230803</v>
      </c>
      <c r="I44" s="100">
        <v>6.2465206009801504E-3</v>
      </c>
      <c r="J44" s="100">
        <v>4.1383196812239502E-3</v>
      </c>
      <c r="K44" s="54" t="e">
        <f t="shared" si="1"/>
        <v>#DIV/0!</v>
      </c>
      <c r="L44" s="54" t="e">
        <f t="shared" si="2"/>
        <v>#DIV/0!</v>
      </c>
      <c r="M44" s="54" t="e">
        <f t="shared" si="3"/>
        <v>#DIV/0!</v>
      </c>
      <c r="N44" s="54" t="e">
        <f t="shared" si="4"/>
        <v>#DIV/0!</v>
      </c>
      <c r="O44" s="200"/>
      <c r="P44" s="200"/>
      <c r="Q44" s="200"/>
      <c r="R44" s="200"/>
      <c r="S44" s="73" t="e">
        <f t="shared" si="5"/>
        <v>#DIV/0!</v>
      </c>
      <c r="T44" s="73" t="e">
        <f t="shared" si="6"/>
        <v>#DIV/0!</v>
      </c>
      <c r="U44" s="73" t="e">
        <f t="shared" si="7"/>
        <v>#DIV/0!</v>
      </c>
      <c r="V44" s="73" t="e">
        <f t="shared" si="8"/>
        <v>#DIV/0!</v>
      </c>
    </row>
    <row r="45" spans="2:22" ht="14.25" customHeight="1" x14ac:dyDescent="0.2">
      <c r="B45" s="96" t="s">
        <v>142</v>
      </c>
      <c r="C45" s="117" t="s">
        <v>13</v>
      </c>
      <c r="D45" s="117">
        <v>3</v>
      </c>
      <c r="E45" s="96" t="str">
        <f t="shared" si="0"/>
        <v>Pyrithione</v>
      </c>
      <c r="F45" s="56">
        <v>60</v>
      </c>
      <c r="G45" s="100">
        <v>217.74608615875201</v>
      </c>
      <c r="H45" s="100">
        <v>144.25677400589001</v>
      </c>
      <c r="I45" s="100">
        <v>3.9763980397886697E-3</v>
      </c>
      <c r="J45" s="100">
        <v>2.63436354659158E-3</v>
      </c>
      <c r="K45" s="54" t="e">
        <f t="shared" si="1"/>
        <v>#DIV/0!</v>
      </c>
      <c r="L45" s="54" t="e">
        <f t="shared" si="2"/>
        <v>#DIV/0!</v>
      </c>
      <c r="M45" s="54" t="e">
        <f t="shared" si="3"/>
        <v>#DIV/0!</v>
      </c>
      <c r="N45" s="54" t="e">
        <f t="shared" si="4"/>
        <v>#DIV/0!</v>
      </c>
      <c r="O45" s="200"/>
      <c r="P45" s="200"/>
      <c r="Q45" s="200"/>
      <c r="R45" s="200"/>
      <c r="S45" s="73" t="e">
        <f t="shared" si="5"/>
        <v>#DIV/0!</v>
      </c>
      <c r="T45" s="73" t="e">
        <f t="shared" si="6"/>
        <v>#DIV/0!</v>
      </c>
      <c r="U45" s="73" t="e">
        <f t="shared" si="7"/>
        <v>#DIV/0!</v>
      </c>
      <c r="V45" s="73" t="e">
        <f t="shared" si="8"/>
        <v>#DIV/0!</v>
      </c>
    </row>
    <row r="46" spans="2:22" ht="14.25" customHeight="1" x14ac:dyDescent="0.2">
      <c r="B46" s="96" t="s">
        <v>143</v>
      </c>
      <c r="C46" s="117" t="s">
        <v>13</v>
      </c>
      <c r="D46" s="117">
        <v>4</v>
      </c>
      <c r="E46" s="96" t="str">
        <f t="shared" si="0"/>
        <v>Pyrithione</v>
      </c>
      <c r="F46" s="56">
        <v>300</v>
      </c>
      <c r="G46" s="100">
        <v>92.866031436920196</v>
      </c>
      <c r="H46" s="100">
        <v>61.523742485046398</v>
      </c>
      <c r="I46" s="100">
        <v>1.57770788221872E-3</v>
      </c>
      <c r="J46" s="100">
        <v>1.04523141818239E-3</v>
      </c>
      <c r="K46" s="54" t="e">
        <f t="shared" si="1"/>
        <v>#DIV/0!</v>
      </c>
      <c r="L46" s="54" t="e">
        <f t="shared" si="2"/>
        <v>#DIV/0!</v>
      </c>
      <c r="M46" s="54" t="e">
        <f t="shared" si="3"/>
        <v>#DIV/0!</v>
      </c>
      <c r="N46" s="54" t="e">
        <f t="shared" si="4"/>
        <v>#DIV/0!</v>
      </c>
      <c r="O46" s="200"/>
      <c r="P46" s="200"/>
      <c r="Q46" s="200"/>
      <c r="R46" s="200"/>
      <c r="S46" s="73" t="e">
        <f t="shared" si="5"/>
        <v>#DIV/0!</v>
      </c>
      <c r="T46" s="73" t="e">
        <f t="shared" si="6"/>
        <v>#DIV/0!</v>
      </c>
      <c r="U46" s="73" t="e">
        <f t="shared" si="7"/>
        <v>#DIV/0!</v>
      </c>
      <c r="V46" s="73" t="e">
        <f t="shared" si="8"/>
        <v>#DIV/0!</v>
      </c>
    </row>
    <row r="47" spans="2:22" ht="14.25" customHeight="1" x14ac:dyDescent="0.2">
      <c r="B47" s="96" t="s">
        <v>144</v>
      </c>
      <c r="C47" s="117" t="s">
        <v>13</v>
      </c>
      <c r="D47" s="117">
        <v>6</v>
      </c>
      <c r="E47" s="96" t="str">
        <f t="shared" si="0"/>
        <v>Pyrithione</v>
      </c>
      <c r="F47" s="56">
        <v>350</v>
      </c>
      <c r="G47" s="100">
        <v>30.7723486661911</v>
      </c>
      <c r="H47" s="100">
        <v>20.386679906845099</v>
      </c>
      <c r="I47" s="100">
        <v>2.8468647200497799E-3</v>
      </c>
      <c r="J47" s="100">
        <v>1.8860477751271301E-3</v>
      </c>
      <c r="K47" s="54" t="e">
        <f t="shared" si="1"/>
        <v>#DIV/0!</v>
      </c>
      <c r="L47" s="54" t="e">
        <f t="shared" si="2"/>
        <v>#DIV/0!</v>
      </c>
      <c r="M47" s="54" t="e">
        <f t="shared" si="3"/>
        <v>#DIV/0!</v>
      </c>
      <c r="N47" s="54" t="e">
        <f t="shared" si="4"/>
        <v>#DIV/0!</v>
      </c>
      <c r="O47" s="200"/>
      <c r="P47" s="200"/>
      <c r="Q47" s="200"/>
      <c r="R47" s="200"/>
      <c r="S47" s="73" t="e">
        <f t="shared" si="5"/>
        <v>#DIV/0!</v>
      </c>
      <c r="T47" s="73" t="e">
        <f t="shared" si="6"/>
        <v>#DIV/0!</v>
      </c>
      <c r="U47" s="73" t="e">
        <f t="shared" si="7"/>
        <v>#DIV/0!</v>
      </c>
      <c r="V47" s="73" t="e">
        <f t="shared" si="8"/>
        <v>#DIV/0!</v>
      </c>
    </row>
    <row r="48" spans="2:22" ht="14.25" customHeight="1" x14ac:dyDescent="0.2">
      <c r="B48" s="96" t="s">
        <v>145</v>
      </c>
      <c r="C48" s="117" t="s">
        <v>13</v>
      </c>
      <c r="D48" s="117">
        <v>7</v>
      </c>
      <c r="E48" s="96" t="str">
        <f t="shared" si="0"/>
        <v>Pyrithione</v>
      </c>
      <c r="F48" s="56">
        <v>70</v>
      </c>
      <c r="G48" s="100">
        <v>78.492346429824806</v>
      </c>
      <c r="H48" s="100">
        <v>52.001176652908299</v>
      </c>
      <c r="I48" s="100">
        <v>3.1827936505699999E-3</v>
      </c>
      <c r="J48" s="100">
        <v>2.1086006679737102E-3</v>
      </c>
      <c r="K48" s="54" t="e">
        <f t="shared" si="1"/>
        <v>#DIV/0!</v>
      </c>
      <c r="L48" s="54" t="e">
        <f t="shared" si="2"/>
        <v>#DIV/0!</v>
      </c>
      <c r="M48" s="54" t="e">
        <f t="shared" si="3"/>
        <v>#DIV/0!</v>
      </c>
      <c r="N48" s="54" t="e">
        <f t="shared" si="4"/>
        <v>#DIV/0!</v>
      </c>
      <c r="O48" s="200"/>
      <c r="P48" s="200"/>
      <c r="Q48" s="200"/>
      <c r="R48" s="200"/>
      <c r="S48" s="73" t="e">
        <f t="shared" si="5"/>
        <v>#DIV/0!</v>
      </c>
      <c r="T48" s="73" t="e">
        <f t="shared" si="6"/>
        <v>#DIV/0!</v>
      </c>
      <c r="U48" s="73" t="e">
        <f t="shared" si="7"/>
        <v>#DIV/0!</v>
      </c>
      <c r="V48" s="73" t="e">
        <f t="shared" si="8"/>
        <v>#DIV/0!</v>
      </c>
    </row>
    <row r="49" spans="2:22" ht="14.25" customHeight="1" x14ac:dyDescent="0.2">
      <c r="B49" s="96" t="s">
        <v>146</v>
      </c>
      <c r="C49" s="117" t="s">
        <v>13</v>
      </c>
      <c r="D49" s="117">
        <v>8</v>
      </c>
      <c r="E49" s="96" t="str">
        <f t="shared" si="0"/>
        <v>Pyrithione</v>
      </c>
      <c r="F49" s="56">
        <v>600</v>
      </c>
      <c r="G49" s="100">
        <v>12.527929465770701</v>
      </c>
      <c r="H49" s="100">
        <v>8.2997528350353207</v>
      </c>
      <c r="I49" s="100">
        <v>1.6123989949204901E-3</v>
      </c>
      <c r="J49" s="100">
        <v>1.06821427914327E-3</v>
      </c>
      <c r="K49" s="54" t="e">
        <f t="shared" si="1"/>
        <v>#DIV/0!</v>
      </c>
      <c r="L49" s="54" t="e">
        <f t="shared" si="2"/>
        <v>#DIV/0!</v>
      </c>
      <c r="M49" s="54" t="e">
        <f t="shared" si="3"/>
        <v>#DIV/0!</v>
      </c>
      <c r="N49" s="54" t="e">
        <f t="shared" si="4"/>
        <v>#DIV/0!</v>
      </c>
      <c r="O49" s="200"/>
      <c r="P49" s="200"/>
      <c r="Q49" s="200"/>
      <c r="R49" s="200"/>
      <c r="S49" s="73" t="e">
        <f t="shared" si="5"/>
        <v>#DIV/0!</v>
      </c>
      <c r="T49" s="73" t="e">
        <f t="shared" si="6"/>
        <v>#DIV/0!</v>
      </c>
      <c r="U49" s="73" t="e">
        <f t="shared" si="7"/>
        <v>#DIV/0!</v>
      </c>
      <c r="V49" s="73" t="e">
        <f t="shared" si="8"/>
        <v>#DIV/0!</v>
      </c>
    </row>
    <row r="50" spans="2:22" ht="14.25" customHeight="1" x14ac:dyDescent="0.2">
      <c r="B50" s="96" t="s">
        <v>147</v>
      </c>
      <c r="C50" s="117" t="s">
        <v>13</v>
      </c>
      <c r="D50" s="117">
        <v>14</v>
      </c>
      <c r="E50" s="96" t="str">
        <f t="shared" si="0"/>
        <v>Pyrithione</v>
      </c>
      <c r="F50" s="56">
        <v>200</v>
      </c>
      <c r="G50" s="100">
        <v>67.992052059173602</v>
      </c>
      <c r="H50" s="100">
        <v>45.044731864929197</v>
      </c>
      <c r="I50" s="100">
        <v>4.5730077728512704E-3</v>
      </c>
      <c r="J50" s="100">
        <v>3.02961748645127E-3</v>
      </c>
      <c r="K50" s="54" t="e">
        <f t="shared" si="1"/>
        <v>#DIV/0!</v>
      </c>
      <c r="L50" s="54" t="e">
        <f t="shared" si="2"/>
        <v>#DIV/0!</v>
      </c>
      <c r="M50" s="54" t="e">
        <f t="shared" si="3"/>
        <v>#DIV/0!</v>
      </c>
      <c r="N50" s="54" t="e">
        <f t="shared" si="4"/>
        <v>#DIV/0!</v>
      </c>
      <c r="O50" s="200"/>
      <c r="P50" s="200"/>
      <c r="Q50" s="200"/>
      <c r="R50" s="200"/>
      <c r="S50" s="73" t="e">
        <f t="shared" si="5"/>
        <v>#DIV/0!</v>
      </c>
      <c r="T50" s="73" t="e">
        <f t="shared" si="6"/>
        <v>#DIV/0!</v>
      </c>
      <c r="U50" s="73" t="e">
        <f t="shared" si="7"/>
        <v>#DIV/0!</v>
      </c>
      <c r="V50" s="73" t="e">
        <f t="shared" si="8"/>
        <v>#DIV/0!</v>
      </c>
    </row>
    <row r="51" spans="2:22" ht="14.25" customHeight="1" x14ac:dyDescent="0.2">
      <c r="B51" s="96" t="s">
        <v>148</v>
      </c>
      <c r="C51" s="117" t="s">
        <v>13</v>
      </c>
      <c r="D51" s="117">
        <v>17</v>
      </c>
      <c r="E51" s="96" t="str">
        <f t="shared" si="0"/>
        <v>Pyrithione</v>
      </c>
      <c r="F51" s="56">
        <v>70</v>
      </c>
      <c r="G51" s="100">
        <v>0.23373547792434701</v>
      </c>
      <c r="H51" s="100">
        <v>0.154849745500833</v>
      </c>
      <c r="I51" s="100">
        <v>1.35320473001098E-3</v>
      </c>
      <c r="J51" s="100">
        <v>8.9649808550866603E-4</v>
      </c>
      <c r="K51" s="54" t="e">
        <f t="shared" si="1"/>
        <v>#DIV/0!</v>
      </c>
      <c r="L51" s="54" t="e">
        <f t="shared" si="2"/>
        <v>#DIV/0!</v>
      </c>
      <c r="M51" s="54" t="e">
        <f t="shared" si="3"/>
        <v>#DIV/0!</v>
      </c>
      <c r="N51" s="54" t="e">
        <f t="shared" si="4"/>
        <v>#DIV/0!</v>
      </c>
      <c r="O51" s="200"/>
      <c r="P51" s="200"/>
      <c r="Q51" s="200"/>
      <c r="R51" s="200"/>
      <c r="S51" s="73" t="e">
        <f t="shared" si="5"/>
        <v>#DIV/0!</v>
      </c>
      <c r="T51" s="73" t="e">
        <f t="shared" si="6"/>
        <v>#DIV/0!</v>
      </c>
      <c r="U51" s="73" t="e">
        <f t="shared" si="7"/>
        <v>#DIV/0!</v>
      </c>
      <c r="V51" s="73" t="e">
        <f t="shared" si="8"/>
        <v>#DIV/0!</v>
      </c>
    </row>
    <row r="52" spans="2:22" ht="14.25" customHeight="1" x14ac:dyDescent="0.2">
      <c r="B52" s="96" t="s">
        <v>149</v>
      </c>
      <c r="C52" s="117" t="s">
        <v>13</v>
      </c>
      <c r="D52" s="117">
        <v>21</v>
      </c>
      <c r="E52" s="96" t="str">
        <f t="shared" si="0"/>
        <v>Pyrithione</v>
      </c>
      <c r="F52" s="56">
        <v>375</v>
      </c>
      <c r="G52" s="100">
        <v>7.12369180560112</v>
      </c>
      <c r="H52" s="100">
        <v>4.7194455873966197</v>
      </c>
      <c r="I52" s="100">
        <v>2.4498680075620998E-3</v>
      </c>
      <c r="J52" s="100">
        <v>1.62303746578908E-3</v>
      </c>
      <c r="K52" s="54" t="e">
        <f t="shared" si="1"/>
        <v>#DIV/0!</v>
      </c>
      <c r="L52" s="54" t="e">
        <f t="shared" si="2"/>
        <v>#DIV/0!</v>
      </c>
      <c r="M52" s="54" t="e">
        <f t="shared" si="3"/>
        <v>#DIV/0!</v>
      </c>
      <c r="N52" s="54" t="e">
        <f t="shared" si="4"/>
        <v>#DIV/0!</v>
      </c>
      <c r="O52" s="200"/>
      <c r="P52" s="200"/>
      <c r="Q52" s="200"/>
      <c r="R52" s="200"/>
      <c r="S52" s="73" t="e">
        <f t="shared" si="5"/>
        <v>#DIV/0!</v>
      </c>
      <c r="T52" s="73" t="e">
        <f t="shared" si="6"/>
        <v>#DIV/0!</v>
      </c>
      <c r="U52" s="73" t="e">
        <f t="shared" si="7"/>
        <v>#DIV/0!</v>
      </c>
      <c r="V52" s="73" t="e">
        <f t="shared" si="8"/>
        <v>#DIV/0!</v>
      </c>
    </row>
    <row r="53" spans="2:22" ht="14.25" customHeight="1" x14ac:dyDescent="0.2">
      <c r="B53" s="96" t="s">
        <v>150</v>
      </c>
      <c r="C53" s="117" t="s">
        <v>13</v>
      </c>
      <c r="D53" s="117">
        <v>26</v>
      </c>
      <c r="E53" s="96" t="str">
        <f t="shared" si="0"/>
        <v>Pyrithione</v>
      </c>
      <c r="F53" s="56">
        <v>700</v>
      </c>
      <c r="G53" s="100">
        <v>16.5242531681061</v>
      </c>
      <c r="H53" s="100">
        <v>10.9473171234131</v>
      </c>
      <c r="I53" s="100">
        <v>6.71465082984165E-4</v>
      </c>
      <c r="J53" s="100">
        <v>4.4484559211468901E-4</v>
      </c>
      <c r="K53" s="54" t="e">
        <f t="shared" si="1"/>
        <v>#DIV/0!</v>
      </c>
      <c r="L53" s="54" t="e">
        <f t="shared" si="2"/>
        <v>#DIV/0!</v>
      </c>
      <c r="M53" s="54" t="e">
        <f t="shared" si="3"/>
        <v>#DIV/0!</v>
      </c>
      <c r="N53" s="54" t="e">
        <f t="shared" si="4"/>
        <v>#DIV/0!</v>
      </c>
      <c r="O53" s="200"/>
      <c r="P53" s="200"/>
      <c r="Q53" s="200"/>
      <c r="R53" s="200"/>
      <c r="S53" s="73" t="e">
        <f t="shared" si="5"/>
        <v>#DIV/0!</v>
      </c>
      <c r="T53" s="73" t="e">
        <f t="shared" si="6"/>
        <v>#DIV/0!</v>
      </c>
      <c r="U53" s="73" t="e">
        <f t="shared" si="7"/>
        <v>#DIV/0!</v>
      </c>
      <c r="V53" s="73" t="e">
        <f t="shared" si="8"/>
        <v>#DIV/0!</v>
      </c>
    </row>
    <row r="54" spans="2:22" ht="14.25" customHeight="1" x14ac:dyDescent="0.2">
      <c r="B54" s="96" t="s">
        <v>151</v>
      </c>
      <c r="C54" s="117" t="s">
        <v>13</v>
      </c>
      <c r="D54" s="117">
        <v>30</v>
      </c>
      <c r="E54" s="96" t="str">
        <f t="shared" si="0"/>
        <v>Pyrithione</v>
      </c>
      <c r="F54" s="56">
        <v>320</v>
      </c>
      <c r="G54" s="100">
        <v>90.537322368621801</v>
      </c>
      <c r="H54" s="100">
        <v>59.980972537994397</v>
      </c>
      <c r="I54" s="100">
        <v>1.01018378682179E-3</v>
      </c>
      <c r="J54" s="100">
        <v>6.6924672328179998E-4</v>
      </c>
      <c r="K54" s="54" t="e">
        <f t="shared" si="1"/>
        <v>#DIV/0!</v>
      </c>
      <c r="L54" s="54" t="e">
        <f t="shared" si="2"/>
        <v>#DIV/0!</v>
      </c>
      <c r="M54" s="54" t="e">
        <f t="shared" si="3"/>
        <v>#DIV/0!</v>
      </c>
      <c r="N54" s="54" t="e">
        <f t="shared" si="4"/>
        <v>#DIV/0!</v>
      </c>
      <c r="O54" s="200"/>
      <c r="P54" s="200"/>
      <c r="Q54" s="200"/>
      <c r="R54" s="200"/>
      <c r="S54" s="73" t="e">
        <f t="shared" si="5"/>
        <v>#DIV/0!</v>
      </c>
      <c r="T54" s="73" t="e">
        <f t="shared" si="6"/>
        <v>#DIV/0!</v>
      </c>
      <c r="U54" s="73" t="e">
        <f t="shared" si="7"/>
        <v>#DIV/0!</v>
      </c>
      <c r="V54" s="73" t="e">
        <f t="shared" si="8"/>
        <v>#DIV/0!</v>
      </c>
    </row>
    <row r="55" spans="2:22" ht="14.25" customHeight="1" x14ac:dyDescent="0.2">
      <c r="B55" s="96" t="s">
        <v>152</v>
      </c>
      <c r="C55" s="117" t="s">
        <v>13</v>
      </c>
      <c r="D55" s="117">
        <v>34</v>
      </c>
      <c r="E55" s="96" t="str">
        <f t="shared" si="0"/>
        <v>Pyrithione</v>
      </c>
      <c r="F55" s="56">
        <v>1200</v>
      </c>
      <c r="G55" s="100">
        <v>9.7504837894439707</v>
      </c>
      <c r="H55" s="100">
        <v>6.4596951687336004</v>
      </c>
      <c r="I55" s="100">
        <v>1.0462537797563201E-3</v>
      </c>
      <c r="J55" s="100">
        <v>6.9314309219710901E-4</v>
      </c>
      <c r="K55" s="54" t="e">
        <f t="shared" si="1"/>
        <v>#DIV/0!</v>
      </c>
      <c r="L55" s="54" t="e">
        <f t="shared" si="2"/>
        <v>#DIV/0!</v>
      </c>
      <c r="M55" s="54" t="e">
        <f t="shared" si="3"/>
        <v>#DIV/0!</v>
      </c>
      <c r="N55" s="54" t="e">
        <f t="shared" si="4"/>
        <v>#DIV/0!</v>
      </c>
      <c r="O55" s="200"/>
      <c r="P55" s="200"/>
      <c r="Q55" s="200"/>
      <c r="R55" s="200"/>
      <c r="S55" s="73" t="e">
        <f t="shared" si="5"/>
        <v>#DIV/0!</v>
      </c>
      <c r="T55" s="73" t="e">
        <f t="shared" si="6"/>
        <v>#DIV/0!</v>
      </c>
      <c r="U55" s="73" t="e">
        <f t="shared" si="7"/>
        <v>#DIV/0!</v>
      </c>
      <c r="V55" s="73" t="e">
        <f t="shared" si="8"/>
        <v>#DIV/0!</v>
      </c>
    </row>
    <row r="56" spans="2:22" ht="14.25" customHeight="1" x14ac:dyDescent="0.2">
      <c r="B56" s="96" t="s">
        <v>153</v>
      </c>
      <c r="C56" s="117" t="s">
        <v>13</v>
      </c>
      <c r="D56" s="117">
        <v>40</v>
      </c>
      <c r="E56" s="96" t="str">
        <f t="shared" si="0"/>
        <v>Pyrithione</v>
      </c>
      <c r="F56" s="56">
        <v>200</v>
      </c>
      <c r="G56" s="100">
        <v>2.27875512838364</v>
      </c>
      <c r="H56" s="100">
        <v>1.5096751856803901</v>
      </c>
      <c r="I56" s="100">
        <v>3.5958870324780102E-3</v>
      </c>
      <c r="J56" s="100">
        <v>2.3822750198476501E-3</v>
      </c>
      <c r="K56" s="54" t="e">
        <f t="shared" si="1"/>
        <v>#DIV/0!</v>
      </c>
      <c r="L56" s="54" t="e">
        <f t="shared" si="2"/>
        <v>#DIV/0!</v>
      </c>
      <c r="M56" s="54" t="e">
        <f t="shared" si="3"/>
        <v>#DIV/0!</v>
      </c>
      <c r="N56" s="54" t="e">
        <f t="shared" si="4"/>
        <v>#DIV/0!</v>
      </c>
      <c r="O56" s="200"/>
      <c r="P56" s="200"/>
      <c r="Q56" s="200"/>
      <c r="R56" s="200"/>
      <c r="S56" s="73" t="e">
        <f t="shared" si="5"/>
        <v>#DIV/0!</v>
      </c>
      <c r="T56" s="73" t="e">
        <f t="shared" si="6"/>
        <v>#DIV/0!</v>
      </c>
      <c r="U56" s="73" t="e">
        <f t="shared" si="7"/>
        <v>#DIV/0!</v>
      </c>
      <c r="V56" s="73" t="e">
        <f t="shared" si="8"/>
        <v>#DIV/0!</v>
      </c>
    </row>
    <row r="57" spans="2:22" ht="14.25" customHeight="1" x14ac:dyDescent="0.2">
      <c r="B57" s="96" t="s">
        <v>154</v>
      </c>
      <c r="C57" s="117" t="s">
        <v>13</v>
      </c>
      <c r="D57" s="117">
        <v>42</v>
      </c>
      <c r="E57" s="96" t="str">
        <f t="shared" si="0"/>
        <v>Pyrithione</v>
      </c>
      <c r="F57" s="56">
        <v>350</v>
      </c>
      <c r="G57" s="100">
        <v>1.04695065051317</v>
      </c>
      <c r="H57" s="100">
        <v>0.69360476918518599</v>
      </c>
      <c r="I57" s="100">
        <v>3.0474125334385999E-3</v>
      </c>
      <c r="J57" s="100">
        <v>2.0189106976258499E-3</v>
      </c>
      <c r="K57" s="54" t="e">
        <f t="shared" si="1"/>
        <v>#DIV/0!</v>
      </c>
      <c r="L57" s="54" t="e">
        <f t="shared" si="2"/>
        <v>#DIV/0!</v>
      </c>
      <c r="M57" s="54" t="e">
        <f t="shared" si="3"/>
        <v>#DIV/0!</v>
      </c>
      <c r="N57" s="54" t="e">
        <f t="shared" si="4"/>
        <v>#DIV/0!</v>
      </c>
      <c r="O57" s="200"/>
      <c r="P57" s="200"/>
      <c r="Q57" s="200"/>
      <c r="R57" s="200"/>
      <c r="S57" s="73" t="e">
        <f t="shared" si="5"/>
        <v>#DIV/0!</v>
      </c>
      <c r="T57" s="73" t="e">
        <f t="shared" si="6"/>
        <v>#DIV/0!</v>
      </c>
      <c r="U57" s="73" t="e">
        <f t="shared" si="7"/>
        <v>#DIV/0!</v>
      </c>
      <c r="V57" s="73" t="e">
        <f t="shared" si="8"/>
        <v>#DIV/0!</v>
      </c>
    </row>
    <row r="58" spans="2:22" ht="14.25" customHeight="1" x14ac:dyDescent="0.2">
      <c r="B58" s="96" t="s">
        <v>155</v>
      </c>
      <c r="C58" s="117" t="s">
        <v>13</v>
      </c>
      <c r="D58" s="117">
        <v>44</v>
      </c>
      <c r="E58" s="96" t="str">
        <f t="shared" si="0"/>
        <v>Pyrithione</v>
      </c>
      <c r="F58" s="56">
        <v>500</v>
      </c>
      <c r="G58" s="100">
        <v>28.7014961624146</v>
      </c>
      <c r="H58" s="100">
        <v>19.014739975929299</v>
      </c>
      <c r="I58" s="100">
        <v>1.74891138049134E-3</v>
      </c>
      <c r="J58" s="100">
        <v>1.1586537195398699E-3</v>
      </c>
      <c r="K58" s="54" t="e">
        <f t="shared" si="1"/>
        <v>#DIV/0!</v>
      </c>
      <c r="L58" s="54" t="e">
        <f t="shared" si="2"/>
        <v>#DIV/0!</v>
      </c>
      <c r="M58" s="54" t="e">
        <f t="shared" si="3"/>
        <v>#DIV/0!</v>
      </c>
      <c r="N58" s="54" t="e">
        <f t="shared" si="4"/>
        <v>#DIV/0!</v>
      </c>
      <c r="O58" s="200"/>
      <c r="P58" s="200"/>
      <c r="Q58" s="200"/>
      <c r="R58" s="200"/>
      <c r="S58" s="73" t="e">
        <f t="shared" si="5"/>
        <v>#DIV/0!</v>
      </c>
      <c r="T58" s="73" t="e">
        <f t="shared" si="6"/>
        <v>#DIV/0!</v>
      </c>
      <c r="U58" s="73" t="e">
        <f t="shared" si="7"/>
        <v>#DIV/0!</v>
      </c>
      <c r="V58" s="73" t="e">
        <f t="shared" si="8"/>
        <v>#DIV/0!</v>
      </c>
    </row>
    <row r="59" spans="2:22" ht="14.25" customHeight="1" x14ac:dyDescent="0.2">
      <c r="B59" s="96" t="s">
        <v>156</v>
      </c>
      <c r="C59" s="117" t="s">
        <v>13</v>
      </c>
      <c r="D59" s="117">
        <v>45</v>
      </c>
      <c r="E59" s="96" t="str">
        <f t="shared" si="0"/>
        <v>Pyrithione</v>
      </c>
      <c r="F59" s="56">
        <v>160</v>
      </c>
      <c r="G59" s="100">
        <v>1.73159360349178</v>
      </c>
      <c r="H59" s="100">
        <v>1.14718069523573</v>
      </c>
      <c r="I59" s="100">
        <v>3.4611743954959199E-3</v>
      </c>
      <c r="J59" s="100">
        <v>2.2930279120509998E-3</v>
      </c>
      <c r="K59" s="54" t="e">
        <f t="shared" si="1"/>
        <v>#DIV/0!</v>
      </c>
      <c r="L59" s="54" t="e">
        <f t="shared" si="2"/>
        <v>#DIV/0!</v>
      </c>
      <c r="M59" s="54" t="e">
        <f t="shared" si="3"/>
        <v>#DIV/0!</v>
      </c>
      <c r="N59" s="54" t="e">
        <f t="shared" si="4"/>
        <v>#DIV/0!</v>
      </c>
      <c r="O59" s="200"/>
      <c r="P59" s="200"/>
      <c r="Q59" s="200"/>
      <c r="R59" s="200"/>
      <c r="S59" s="73" t="e">
        <f t="shared" si="5"/>
        <v>#DIV/0!</v>
      </c>
      <c r="T59" s="73" t="e">
        <f t="shared" si="6"/>
        <v>#DIV/0!</v>
      </c>
      <c r="U59" s="73" t="e">
        <f t="shared" si="7"/>
        <v>#DIV/0!</v>
      </c>
      <c r="V59" s="73" t="e">
        <f t="shared" si="8"/>
        <v>#DIV/0!</v>
      </c>
    </row>
    <row r="60" spans="2:22" ht="14.25" customHeight="1" x14ac:dyDescent="0.2">
      <c r="B60" s="96" t="s">
        <v>157</v>
      </c>
      <c r="C60" s="117" t="s">
        <v>13</v>
      </c>
      <c r="D60" s="117">
        <v>46</v>
      </c>
      <c r="E60" s="96" t="str">
        <f t="shared" si="0"/>
        <v>Pyrithione</v>
      </c>
      <c r="F60" s="56">
        <v>450</v>
      </c>
      <c r="G60" s="100">
        <v>16.658038601875301</v>
      </c>
      <c r="H60" s="100">
        <v>11.0359499883652</v>
      </c>
      <c r="I60" s="100">
        <v>3.0045103203561898E-4</v>
      </c>
      <c r="J60" s="100">
        <v>1.9904879789767901E-4</v>
      </c>
      <c r="K60" s="54" t="e">
        <f t="shared" si="1"/>
        <v>#DIV/0!</v>
      </c>
      <c r="L60" s="54" t="e">
        <f t="shared" si="2"/>
        <v>#DIV/0!</v>
      </c>
      <c r="M60" s="54" t="e">
        <f t="shared" si="3"/>
        <v>#DIV/0!</v>
      </c>
      <c r="N60" s="54" t="e">
        <f t="shared" si="4"/>
        <v>#DIV/0!</v>
      </c>
      <c r="O60" s="200"/>
      <c r="P60" s="200"/>
      <c r="Q60" s="200"/>
      <c r="R60" s="200"/>
      <c r="S60" s="73" t="e">
        <f t="shared" si="5"/>
        <v>#DIV/0!</v>
      </c>
      <c r="T60" s="73" t="e">
        <f t="shared" si="6"/>
        <v>#DIV/0!</v>
      </c>
      <c r="U60" s="73" t="e">
        <f t="shared" si="7"/>
        <v>#DIV/0!</v>
      </c>
      <c r="V60" s="73" t="e">
        <f t="shared" si="8"/>
        <v>#DIV/0!</v>
      </c>
    </row>
    <row r="61" spans="2:22" ht="14.25" customHeight="1" x14ac:dyDescent="0.2">
      <c r="B61" s="96" t="s">
        <v>158</v>
      </c>
      <c r="C61" s="117" t="s">
        <v>13</v>
      </c>
      <c r="D61" s="117">
        <v>48</v>
      </c>
      <c r="E61" s="96" t="str">
        <f t="shared" si="0"/>
        <v>Pyrithione</v>
      </c>
      <c r="F61" s="56">
        <v>365</v>
      </c>
      <c r="G61" s="100">
        <v>25.799544672966</v>
      </c>
      <c r="H61" s="100">
        <v>17.092197399139401</v>
      </c>
      <c r="I61" s="100">
        <v>1.0919446150385E-3</v>
      </c>
      <c r="J61" s="100">
        <v>7.2341326787055604E-4</v>
      </c>
      <c r="K61" s="54" t="e">
        <f t="shared" si="1"/>
        <v>#DIV/0!</v>
      </c>
      <c r="L61" s="54" t="e">
        <f t="shared" si="2"/>
        <v>#DIV/0!</v>
      </c>
      <c r="M61" s="54" t="e">
        <f t="shared" si="3"/>
        <v>#DIV/0!</v>
      </c>
      <c r="N61" s="54" t="e">
        <f t="shared" si="4"/>
        <v>#DIV/0!</v>
      </c>
      <c r="O61" s="200"/>
      <c r="P61" s="200"/>
      <c r="Q61" s="200"/>
      <c r="R61" s="200"/>
      <c r="S61" s="73" t="e">
        <f t="shared" si="5"/>
        <v>#DIV/0!</v>
      </c>
      <c r="T61" s="73" t="e">
        <f t="shared" si="6"/>
        <v>#DIV/0!</v>
      </c>
      <c r="U61" s="73" t="e">
        <f t="shared" si="7"/>
        <v>#DIV/0!</v>
      </c>
      <c r="V61" s="73" t="e">
        <f t="shared" si="8"/>
        <v>#DIV/0!</v>
      </c>
    </row>
    <row r="62" spans="2:22" ht="14.25" customHeight="1" x14ac:dyDescent="0.2">
      <c r="B62" s="96" t="s">
        <v>159</v>
      </c>
      <c r="C62" s="117" t="s">
        <v>160</v>
      </c>
      <c r="D62" s="117">
        <v>1</v>
      </c>
      <c r="E62" s="96" t="str">
        <f t="shared" si="0"/>
        <v>Pyrithione</v>
      </c>
      <c r="F62" s="56">
        <v>54</v>
      </c>
      <c r="G62" s="100">
        <v>1.1923210681974901</v>
      </c>
      <c r="H62" s="100">
        <v>0.23846419978886799</v>
      </c>
      <c r="I62" s="100">
        <v>2.2115436237225201E-3</v>
      </c>
      <c r="J62" s="100">
        <v>4.42308695781061E-4</v>
      </c>
      <c r="K62" s="54" t="e">
        <f t="shared" si="1"/>
        <v>#DIV/0!</v>
      </c>
      <c r="L62" s="54" t="e">
        <f t="shared" si="2"/>
        <v>#DIV/0!</v>
      </c>
      <c r="M62" s="54" t="e">
        <f t="shared" si="3"/>
        <v>#DIV/0!</v>
      </c>
      <c r="N62" s="54" t="e">
        <f t="shared" si="4"/>
        <v>#DIV/0!</v>
      </c>
      <c r="O62" s="200"/>
      <c r="P62" s="200"/>
      <c r="Q62" s="200"/>
      <c r="R62" s="200"/>
      <c r="S62" s="73" t="e">
        <f t="shared" si="5"/>
        <v>#DIV/0!</v>
      </c>
      <c r="T62" s="73" t="e">
        <f t="shared" si="6"/>
        <v>#DIV/0!</v>
      </c>
      <c r="U62" s="73" t="e">
        <f t="shared" si="7"/>
        <v>#DIV/0!</v>
      </c>
      <c r="V62" s="73" t="e">
        <f t="shared" si="8"/>
        <v>#DIV/0!</v>
      </c>
    </row>
    <row r="63" spans="2:22" ht="14.25" customHeight="1" x14ac:dyDescent="0.2">
      <c r="B63" s="96" t="s">
        <v>161</v>
      </c>
      <c r="C63" s="117" t="s">
        <v>160</v>
      </c>
      <c r="D63" s="117">
        <v>2</v>
      </c>
      <c r="E63" s="96" t="str">
        <f t="shared" si="0"/>
        <v>Pyrithione</v>
      </c>
      <c r="F63" s="56">
        <v>400</v>
      </c>
      <c r="G63" s="100">
        <v>32.194030780792197</v>
      </c>
      <c r="H63" s="100">
        <v>16.177905282974201</v>
      </c>
      <c r="I63" s="100">
        <v>3.10703879523634E-4</v>
      </c>
      <c r="J63" s="100">
        <v>1.5613260682996401E-4</v>
      </c>
      <c r="K63" s="54" t="e">
        <f t="shared" si="1"/>
        <v>#DIV/0!</v>
      </c>
      <c r="L63" s="54" t="e">
        <f t="shared" si="2"/>
        <v>#DIV/0!</v>
      </c>
      <c r="M63" s="54" t="e">
        <f t="shared" si="3"/>
        <v>#DIV/0!</v>
      </c>
      <c r="N63" s="54" t="e">
        <f t="shared" si="4"/>
        <v>#DIV/0!</v>
      </c>
      <c r="O63" s="200"/>
      <c r="P63" s="200"/>
      <c r="Q63" s="200"/>
      <c r="R63" s="200"/>
      <c r="S63" s="73" t="e">
        <f t="shared" si="5"/>
        <v>#DIV/0!</v>
      </c>
      <c r="T63" s="73" t="e">
        <f t="shared" si="6"/>
        <v>#DIV/0!</v>
      </c>
      <c r="U63" s="73" t="e">
        <f t="shared" si="7"/>
        <v>#DIV/0!</v>
      </c>
      <c r="V63" s="73" t="e">
        <f t="shared" si="8"/>
        <v>#DIV/0!</v>
      </c>
    </row>
    <row r="64" spans="2:22" ht="14.25" customHeight="1" x14ac:dyDescent="0.2">
      <c r="B64" s="96" t="s">
        <v>162</v>
      </c>
      <c r="C64" s="117" t="s">
        <v>160</v>
      </c>
      <c r="D64" s="117">
        <v>3</v>
      </c>
      <c r="E64" s="96" t="str">
        <f t="shared" si="0"/>
        <v>Pyrithione</v>
      </c>
      <c r="F64" s="56">
        <v>180</v>
      </c>
      <c r="G64" s="100">
        <v>2.3273350338318499E-3</v>
      </c>
      <c r="H64" s="100">
        <v>1.1695151250543301E-3</v>
      </c>
      <c r="I64" s="100">
        <v>1.38492029132621E-4</v>
      </c>
      <c r="J64" s="100">
        <v>6.9593986220986396E-5</v>
      </c>
      <c r="K64" s="54" t="e">
        <f t="shared" si="1"/>
        <v>#DIV/0!</v>
      </c>
      <c r="L64" s="54" t="e">
        <f t="shared" si="2"/>
        <v>#DIV/0!</v>
      </c>
      <c r="M64" s="54" t="e">
        <f t="shared" si="3"/>
        <v>#DIV/0!</v>
      </c>
      <c r="N64" s="54" t="e">
        <f t="shared" si="4"/>
        <v>#DIV/0!</v>
      </c>
      <c r="O64" s="200"/>
      <c r="P64" s="200"/>
      <c r="Q64" s="200"/>
      <c r="R64" s="200"/>
      <c r="S64" s="73" t="e">
        <f t="shared" si="5"/>
        <v>#DIV/0!</v>
      </c>
      <c r="T64" s="73" t="e">
        <f t="shared" si="6"/>
        <v>#DIV/0!</v>
      </c>
      <c r="U64" s="73" t="e">
        <f t="shared" si="7"/>
        <v>#DIV/0!</v>
      </c>
      <c r="V64" s="73" t="e">
        <f t="shared" si="8"/>
        <v>#DIV/0!</v>
      </c>
    </row>
    <row r="65" spans="1:22" ht="14.25" customHeight="1" x14ac:dyDescent="0.2">
      <c r="B65" s="96" t="s">
        <v>163</v>
      </c>
      <c r="C65" s="117" t="s">
        <v>160</v>
      </c>
      <c r="D65" s="117">
        <v>4</v>
      </c>
      <c r="E65" s="96" t="str">
        <f t="shared" si="0"/>
        <v>Pyrithione</v>
      </c>
      <c r="F65" s="56">
        <v>85</v>
      </c>
      <c r="G65" s="100">
        <v>12.3828151059151</v>
      </c>
      <c r="H65" s="100">
        <v>9.5325752747058896</v>
      </c>
      <c r="I65" s="100">
        <v>3.7558558686356601E-3</v>
      </c>
      <c r="J65" s="100">
        <v>2.8913440522022799E-3</v>
      </c>
      <c r="K65" s="54" t="e">
        <f t="shared" si="1"/>
        <v>#DIV/0!</v>
      </c>
      <c r="L65" s="54" t="e">
        <f t="shared" si="2"/>
        <v>#DIV/0!</v>
      </c>
      <c r="M65" s="54" t="e">
        <f t="shared" si="3"/>
        <v>#DIV/0!</v>
      </c>
      <c r="N65" s="54" t="e">
        <f t="shared" si="4"/>
        <v>#DIV/0!</v>
      </c>
      <c r="O65" s="200"/>
      <c r="P65" s="200"/>
      <c r="Q65" s="200"/>
      <c r="R65" s="200"/>
      <c r="S65" s="73" t="e">
        <f t="shared" si="5"/>
        <v>#DIV/0!</v>
      </c>
      <c r="T65" s="73" t="e">
        <f t="shared" si="6"/>
        <v>#DIV/0!</v>
      </c>
      <c r="U65" s="73" t="e">
        <f t="shared" si="7"/>
        <v>#DIV/0!</v>
      </c>
      <c r="V65" s="73" t="e">
        <f t="shared" si="8"/>
        <v>#DIV/0!</v>
      </c>
    </row>
    <row r="66" spans="1:22" ht="14.25" customHeight="1" x14ac:dyDescent="0.2">
      <c r="B66" s="96" t="s">
        <v>164</v>
      </c>
      <c r="C66" s="117" t="s">
        <v>160</v>
      </c>
      <c r="D66" s="117">
        <v>5</v>
      </c>
      <c r="E66" s="96" t="str">
        <f t="shared" si="0"/>
        <v>Pyrithione</v>
      </c>
      <c r="F66" s="56">
        <v>80</v>
      </c>
      <c r="G66" s="100">
        <v>236.52144004821801</v>
      </c>
      <c r="H66" s="100">
        <v>118.854997215271</v>
      </c>
      <c r="I66" s="100">
        <v>6.4618914024405804E-4</v>
      </c>
      <c r="J66" s="100">
        <v>3.24718166319737E-4</v>
      </c>
      <c r="K66" s="54" t="e">
        <f t="shared" si="1"/>
        <v>#DIV/0!</v>
      </c>
      <c r="L66" s="54" t="e">
        <f t="shared" si="2"/>
        <v>#DIV/0!</v>
      </c>
      <c r="M66" s="54" t="e">
        <f t="shared" si="3"/>
        <v>#DIV/0!</v>
      </c>
      <c r="N66" s="54" t="e">
        <f t="shared" si="4"/>
        <v>#DIV/0!</v>
      </c>
      <c r="O66" s="200"/>
      <c r="P66" s="200"/>
      <c r="Q66" s="200"/>
      <c r="R66" s="200"/>
      <c r="S66" s="73" t="e">
        <f t="shared" si="5"/>
        <v>#DIV/0!</v>
      </c>
      <c r="T66" s="73" t="e">
        <f t="shared" si="6"/>
        <v>#DIV/0!</v>
      </c>
      <c r="U66" s="73" t="e">
        <f t="shared" si="7"/>
        <v>#DIV/0!</v>
      </c>
      <c r="V66" s="73" t="e">
        <f t="shared" si="8"/>
        <v>#DIV/0!</v>
      </c>
    </row>
    <row r="67" spans="1:22" x14ac:dyDescent="0.2">
      <c r="B67" s="197" t="s">
        <v>14</v>
      </c>
      <c r="C67" s="197"/>
      <c r="D67" s="197"/>
      <c r="E67" s="197"/>
      <c r="F67" s="116"/>
      <c r="G67" s="116"/>
      <c r="H67" s="116"/>
      <c r="I67" s="116"/>
      <c r="J67" s="116"/>
      <c r="K67" s="74" t="e">
        <f>MAX($K$21:$K$66)</f>
        <v>#DIV/0!</v>
      </c>
      <c r="L67" s="74" t="e">
        <f>MAX($L$21:$L$66)</f>
        <v>#DIV/0!</v>
      </c>
      <c r="M67" s="74" t="e">
        <f>MAX($M$21:$M$66)</f>
        <v>#DIV/0!</v>
      </c>
      <c r="N67" s="74" t="e">
        <f>MAX($N$21:$N$66)</f>
        <v>#DIV/0!</v>
      </c>
      <c r="O67" s="74"/>
      <c r="P67" s="74"/>
      <c r="Q67" s="74"/>
      <c r="R67" s="74"/>
      <c r="S67" s="74" t="e">
        <f>MAX($S$21:$S$66)</f>
        <v>#DIV/0!</v>
      </c>
      <c r="T67" s="74" t="e">
        <f>MAX($T$21:$T$66)</f>
        <v>#DIV/0!</v>
      </c>
      <c r="U67" s="74" t="e">
        <f>MAX($U$21:$U$66)</f>
        <v>#DIV/0!</v>
      </c>
      <c r="V67" s="74" t="e">
        <f>MAX($V$21:$V$66)</f>
        <v>#DIV/0!</v>
      </c>
    </row>
    <row r="68" spans="1:22" x14ac:dyDescent="0.2">
      <c r="B68" s="197" t="s">
        <v>15</v>
      </c>
      <c r="C68" s="197"/>
      <c r="D68" s="197"/>
      <c r="E68" s="197"/>
      <c r="F68" s="116"/>
      <c r="G68" s="116"/>
      <c r="H68" s="116"/>
      <c r="I68" s="116"/>
      <c r="J68" s="116"/>
      <c r="K68" s="74" t="e">
        <f>MIN($K$21:$K$66)</f>
        <v>#DIV/0!</v>
      </c>
      <c r="L68" s="74" t="e">
        <f>MIN($L$21:$L$66)</f>
        <v>#DIV/0!</v>
      </c>
      <c r="M68" s="74" t="e">
        <f>MIN($M$21:$M$66)</f>
        <v>#DIV/0!</v>
      </c>
      <c r="N68" s="74" t="e">
        <f>MIN($N$21:$N$66)</f>
        <v>#DIV/0!</v>
      </c>
      <c r="O68" s="74"/>
      <c r="P68" s="74"/>
      <c r="Q68" s="74"/>
      <c r="R68" s="74"/>
      <c r="S68" s="74" t="e">
        <f>MIN($S$21:$S$66)</f>
        <v>#DIV/0!</v>
      </c>
      <c r="T68" s="74" t="e">
        <f>MIN($T$21:$T$66)</f>
        <v>#DIV/0!</v>
      </c>
      <c r="U68" s="74" t="e">
        <f>MIN($U$21:$U$66)</f>
        <v>#DIV/0!</v>
      </c>
      <c r="V68" s="74" t="e">
        <f>MIN($V$21:$V$66)</f>
        <v>#DIV/0!</v>
      </c>
    </row>
    <row r="69" spans="1:22" x14ac:dyDescent="0.2">
      <c r="A69" s="91"/>
      <c r="B69" s="17"/>
      <c r="C69" s="17"/>
      <c r="D69" s="17"/>
      <c r="E69" s="116" t="s">
        <v>96</v>
      </c>
      <c r="F69" s="17"/>
      <c r="G69" s="17"/>
      <c r="H69" s="17"/>
      <c r="I69" s="17"/>
      <c r="J69" s="17"/>
      <c r="K69" s="74" t="e">
        <f>_xlfn.PERCENTILE.INC(K$21:K$66,0.9)</f>
        <v>#DIV/0!</v>
      </c>
      <c r="L69" s="74" t="e">
        <f>_xlfn.PERCENTILE.INC(L$21:L$66,0.9)</f>
        <v>#DIV/0!</v>
      </c>
      <c r="M69" s="74" t="e">
        <f>_xlfn.PERCENTILE.INC(M$21:M$66,0.9)</f>
        <v>#DIV/0!</v>
      </c>
      <c r="N69" s="74" t="e">
        <f>_xlfn.PERCENTILE.INC(N$21:N$66,0.9)</f>
        <v>#DIV/0!</v>
      </c>
      <c r="O69" s="74"/>
      <c r="P69" s="74"/>
      <c r="Q69" s="74"/>
      <c r="R69" s="74"/>
      <c r="S69" s="74" t="e">
        <f>_xlfn.PERCENTILE.INC(S$21:S$66,0.9)</f>
        <v>#DIV/0!</v>
      </c>
      <c r="T69" s="74" t="e">
        <f>_xlfn.PERCENTILE.INC(T$21:T$66,0.9)</f>
        <v>#DIV/0!</v>
      </c>
      <c r="U69" s="74" t="e">
        <f>_xlfn.PERCENTILE.INC(U$21:U$66,0.9)</f>
        <v>#DIV/0!</v>
      </c>
      <c r="V69" s="74" t="e">
        <f>_xlfn.PERCENTILE.INC(V$21:V$66,0.9)</f>
        <v>#DIV/0!</v>
      </c>
    </row>
    <row r="70" spans="1:22" x14ac:dyDescent="0.2">
      <c r="B70" s="17"/>
      <c r="C70" s="17"/>
      <c r="D70" s="17"/>
      <c r="E70" s="116" t="s">
        <v>97</v>
      </c>
      <c r="F70" s="17"/>
      <c r="G70" s="17"/>
      <c r="H70" s="17"/>
      <c r="I70" s="17"/>
      <c r="J70" s="17"/>
      <c r="K70" s="74" t="e">
        <f>_xlfn.PERCENTILE.INC(K$21:K$66,0.8)</f>
        <v>#DIV/0!</v>
      </c>
      <c r="L70" s="74" t="e">
        <f>_xlfn.PERCENTILE.INC(L$21:L$66,0.8)</f>
        <v>#DIV/0!</v>
      </c>
      <c r="M70" s="74" t="e">
        <f>_xlfn.PERCENTILE.INC(M$21:M$66,0.8)</f>
        <v>#DIV/0!</v>
      </c>
      <c r="N70" s="74" t="e">
        <f>_xlfn.PERCENTILE.INC(N$21:N$66,0.8)</f>
        <v>#DIV/0!</v>
      </c>
      <c r="O70" s="74"/>
      <c r="P70" s="74"/>
      <c r="Q70" s="74"/>
      <c r="R70" s="74"/>
      <c r="S70" s="74" t="e">
        <f>_xlfn.PERCENTILE.INC(S$21:S$66,0.8)</f>
        <v>#DIV/0!</v>
      </c>
      <c r="T70" s="74" t="e">
        <f>_xlfn.PERCENTILE.INC(T$21:T$66,0.8)</f>
        <v>#DIV/0!</v>
      </c>
      <c r="U70" s="74" t="e">
        <f>_xlfn.PERCENTILE.INC(U$21:U$66,0.8)</f>
        <v>#DIV/0!</v>
      </c>
      <c r="V70" s="74" t="e">
        <f>_xlfn.PERCENTILE.INC(V$21:V$66,0.8)</f>
        <v>#DIV/0!</v>
      </c>
    </row>
    <row r="71" spans="1:22" x14ac:dyDescent="0.2">
      <c r="B71" s="17"/>
      <c r="C71" s="17"/>
      <c r="D71" s="17"/>
      <c r="E71" s="116" t="s">
        <v>98</v>
      </c>
      <c r="F71" s="17"/>
      <c r="G71" s="17"/>
      <c r="H71" s="17"/>
      <c r="I71" s="17"/>
      <c r="J71" s="17"/>
      <c r="K71" s="74" t="e">
        <f>_xlfn.PERCENTILE.INC(K$21:K$66,0.75)</f>
        <v>#DIV/0!</v>
      </c>
      <c r="L71" s="74" t="e">
        <f>_xlfn.PERCENTILE.INC(L$21:L$66,0.75)</f>
        <v>#DIV/0!</v>
      </c>
      <c r="M71" s="74" t="e">
        <f>_xlfn.PERCENTILE.INC(M$21:M$66,0.75)</f>
        <v>#DIV/0!</v>
      </c>
      <c r="N71" s="74" t="e">
        <f>_xlfn.PERCENTILE.INC(N$21:N$66,0.75)</f>
        <v>#DIV/0!</v>
      </c>
      <c r="O71" s="74"/>
      <c r="P71" s="74"/>
      <c r="Q71" s="74"/>
      <c r="R71" s="74"/>
      <c r="S71" s="74" t="e">
        <f>_xlfn.PERCENTILE.INC(S$21:S$66,0.75)</f>
        <v>#DIV/0!</v>
      </c>
      <c r="T71" s="74" t="e">
        <f>_xlfn.PERCENTILE.INC(T$21:T$66,0.75)</f>
        <v>#DIV/0!</v>
      </c>
      <c r="U71" s="74" t="e">
        <f>_xlfn.PERCENTILE.INC(U$21:U$66,0.75)</f>
        <v>#DIV/0!</v>
      </c>
      <c r="V71" s="74" t="e">
        <f>_xlfn.PERCENTILE.INC(V$21:V$66,0.75)</f>
        <v>#DIV/0!</v>
      </c>
    </row>
    <row r="72" spans="1:22" x14ac:dyDescent="0.2">
      <c r="B72" s="17"/>
      <c r="C72" s="17"/>
      <c r="D72" s="17"/>
      <c r="E72" s="116" t="s">
        <v>99</v>
      </c>
      <c r="F72" s="17"/>
      <c r="G72" s="17"/>
      <c r="H72" s="17"/>
      <c r="I72" s="17"/>
      <c r="J72" s="17"/>
      <c r="K72" s="74" t="e">
        <f>_xlfn.PERCENTILE.INC(K$21:K$66,0.5)</f>
        <v>#DIV/0!</v>
      </c>
      <c r="L72" s="74" t="e">
        <f>_xlfn.PERCENTILE.INC(L$21:L$66,0.5)</f>
        <v>#DIV/0!</v>
      </c>
      <c r="M72" s="74" t="e">
        <f>_xlfn.PERCENTILE.INC(M$21:M$66,0.5)</f>
        <v>#DIV/0!</v>
      </c>
      <c r="N72" s="74" t="e">
        <f>_xlfn.PERCENTILE.INC(N$21:N$66,0.5)</f>
        <v>#DIV/0!</v>
      </c>
      <c r="O72" s="74"/>
      <c r="P72" s="74"/>
      <c r="Q72" s="74"/>
      <c r="R72" s="74"/>
      <c r="S72" s="74" t="e">
        <f>_xlfn.PERCENTILE.INC(S$21:S$66,0.5)</f>
        <v>#DIV/0!</v>
      </c>
      <c r="T72" s="74" t="e">
        <f>_xlfn.PERCENTILE.INC(T$21:T$66,0.5)</f>
        <v>#DIV/0!</v>
      </c>
      <c r="U72" s="74" t="e">
        <f>_xlfn.PERCENTILE.INC(U$21:U$66,0.5)</f>
        <v>#DIV/0!</v>
      </c>
      <c r="V72" s="74" t="e">
        <f>_xlfn.PERCENTILE.INC(V$21:V$66,0.5)</f>
        <v>#DIV/0!</v>
      </c>
    </row>
    <row r="73" spans="1:22" x14ac:dyDescent="0.2">
      <c r="B73" s="17"/>
      <c r="C73" s="17"/>
      <c r="D73" s="17"/>
      <c r="E73" s="116" t="s">
        <v>100</v>
      </c>
      <c r="F73" s="17"/>
      <c r="G73" s="17"/>
      <c r="H73" s="17"/>
      <c r="I73" s="17"/>
      <c r="J73" s="17"/>
      <c r="K73" s="74" t="e">
        <f>_xlfn.PERCENTILE.INC(K$21:K$66,0.25)</f>
        <v>#DIV/0!</v>
      </c>
      <c r="L73" s="74" t="e">
        <f>_xlfn.PERCENTILE.INC(L$21:L$66,0.25)</f>
        <v>#DIV/0!</v>
      </c>
      <c r="M73" s="74" t="e">
        <f>_xlfn.PERCENTILE.INC(M$21:M$66,0.25)</f>
        <v>#DIV/0!</v>
      </c>
      <c r="N73" s="74" t="e">
        <f>_xlfn.PERCENTILE.INC(N$21:N$66,0.25)</f>
        <v>#DIV/0!</v>
      </c>
      <c r="O73" s="74"/>
      <c r="P73" s="74"/>
      <c r="Q73" s="74"/>
      <c r="R73" s="74"/>
      <c r="S73" s="74" t="e">
        <f>_xlfn.PERCENTILE.INC(S$21:S$66,0.25)</f>
        <v>#DIV/0!</v>
      </c>
      <c r="T73" s="74" t="e">
        <f>_xlfn.PERCENTILE.INC(T$21:T$66,0.25)</f>
        <v>#DIV/0!</v>
      </c>
      <c r="U73" s="74" t="e">
        <f>_xlfn.PERCENTILE.INC(U$21:U$66,0.25)</f>
        <v>#DIV/0!</v>
      </c>
      <c r="V73" s="74" t="e">
        <f>_xlfn.PERCENTILE.INC(V$21:V$66,0.25)</f>
        <v>#DIV/0!</v>
      </c>
    </row>
    <row r="74" spans="1:22" x14ac:dyDescent="0.2">
      <c r="B74" s="17"/>
      <c r="C74" s="17"/>
      <c r="D74" s="17"/>
      <c r="E74" s="116" t="s">
        <v>101</v>
      </c>
      <c r="F74" s="17"/>
      <c r="G74" s="17"/>
      <c r="H74" s="17"/>
      <c r="I74" s="17"/>
      <c r="J74" s="17"/>
      <c r="K74" s="74" t="e">
        <f>_xlfn.PERCENTILE.INC(K$21:K$66,0.1)</f>
        <v>#DIV/0!</v>
      </c>
      <c r="L74" s="74" t="e">
        <f>_xlfn.PERCENTILE.INC(L$21:L$66,0.1)</f>
        <v>#DIV/0!</v>
      </c>
      <c r="M74" s="74" t="e">
        <f>_xlfn.PERCENTILE.INC(M$21:M$66,0.1)</f>
        <v>#DIV/0!</v>
      </c>
      <c r="N74" s="74" t="e">
        <f>_xlfn.PERCENTILE.INC(N$21:N$66,0.1)</f>
        <v>#DIV/0!</v>
      </c>
      <c r="O74" s="74"/>
      <c r="P74" s="74"/>
      <c r="Q74" s="74"/>
      <c r="R74" s="74"/>
      <c r="S74" s="74" t="e">
        <f>_xlfn.PERCENTILE.INC(S$21:S$66,0.1)</f>
        <v>#DIV/0!</v>
      </c>
      <c r="T74" s="74" t="e">
        <f>_xlfn.PERCENTILE.INC(T$21:T$66,0.1)</f>
        <v>#DIV/0!</v>
      </c>
      <c r="U74" s="74" t="e">
        <f>_xlfn.PERCENTILE.INC(U$21:U$66,0.1)</f>
        <v>#DIV/0!</v>
      </c>
      <c r="V74" s="74" t="e">
        <f>_xlfn.PERCENTILE.INC(V$21:V$66,0.1)</f>
        <v>#DIV/0!</v>
      </c>
    </row>
  </sheetData>
  <mergeCells count="11">
    <mergeCell ref="B67:E67"/>
    <mergeCell ref="B68:E68"/>
    <mergeCell ref="B2:R2"/>
    <mergeCell ref="B4:H4"/>
    <mergeCell ref="K4:Q4"/>
    <mergeCell ref="B13:H13"/>
    <mergeCell ref="B19:V19"/>
    <mergeCell ref="O21:O66"/>
    <mergeCell ref="P21:P66"/>
    <mergeCell ref="Q21:Q66"/>
    <mergeCell ref="R21:R66"/>
  </mergeCell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T22"/>
  <sheetViews>
    <sheetView zoomScale="90" zoomScaleNormal="90" workbookViewId="0"/>
  </sheetViews>
  <sheetFormatPr defaultRowHeight="12.75" x14ac:dyDescent="0.2"/>
  <cols>
    <col min="1" max="1" width="9" style="91"/>
    <col min="2" max="2" width="28.125" style="91" customWidth="1"/>
    <col min="3" max="3" width="25.25" style="91" customWidth="1"/>
    <col min="4" max="4" width="9" style="91"/>
    <col min="5" max="12" width="15.625" style="91" customWidth="1"/>
    <col min="13" max="16" width="11.625" style="91" customWidth="1"/>
    <col min="17" max="20" width="12.625" style="91" customWidth="1"/>
    <col min="21" max="16384" width="9" style="91"/>
  </cols>
  <sheetData>
    <row r="2" spans="2:18" ht="21" thickBot="1" x14ac:dyDescent="0.35">
      <c r="B2" s="196" t="s">
        <v>103</v>
      </c>
      <c r="C2" s="196"/>
      <c r="D2" s="196"/>
      <c r="E2" s="196"/>
      <c r="F2" s="196"/>
      <c r="G2" s="196"/>
      <c r="H2" s="196"/>
      <c r="I2" s="196"/>
      <c r="J2" s="196"/>
      <c r="K2" s="196"/>
      <c r="L2" s="196"/>
      <c r="M2" s="196"/>
      <c r="N2" s="196"/>
      <c r="O2" s="196"/>
      <c r="P2" s="196"/>
      <c r="Q2" s="196"/>
      <c r="R2" s="196"/>
    </row>
    <row r="3" spans="2:18" ht="15" customHeight="1" thickTop="1" x14ac:dyDescent="0.2">
      <c r="B3" s="148" t="str">
        <f>Tooltype</f>
        <v>Freshwater calculator tool</v>
      </c>
      <c r="C3" s="3"/>
      <c r="D3" s="3"/>
      <c r="E3" s="3"/>
      <c r="F3" s="3"/>
      <c r="G3" s="3"/>
      <c r="H3" s="3"/>
      <c r="I3" s="3"/>
      <c r="J3" s="3"/>
      <c r="K3" s="3"/>
      <c r="L3" s="3"/>
      <c r="M3" s="3"/>
      <c r="N3" s="3"/>
      <c r="O3" s="3"/>
      <c r="P3" s="3"/>
      <c r="Q3" s="3"/>
      <c r="R3" s="3"/>
    </row>
    <row r="4" spans="2:18" ht="15" customHeight="1" thickBot="1" x14ac:dyDescent="0.35">
      <c r="B4" s="198" t="s">
        <v>49</v>
      </c>
      <c r="C4" s="198"/>
      <c r="D4" s="198"/>
      <c r="E4" s="198"/>
      <c r="F4" s="198"/>
      <c r="G4" s="198"/>
      <c r="H4" s="198"/>
      <c r="I4" s="3"/>
      <c r="J4" s="3"/>
      <c r="K4" s="3"/>
      <c r="L4" s="3"/>
      <c r="M4" s="3"/>
      <c r="N4" s="3"/>
      <c r="O4" s="3"/>
      <c r="P4" s="3"/>
      <c r="Q4" s="3"/>
      <c r="R4" s="3"/>
    </row>
    <row r="5" spans="2:18" ht="15" customHeight="1" thickTop="1" x14ac:dyDescent="0.2">
      <c r="B5" s="3"/>
      <c r="C5" s="3"/>
      <c r="D5" s="3"/>
      <c r="E5" s="3"/>
      <c r="F5" s="3"/>
      <c r="G5" s="3"/>
      <c r="H5" s="3"/>
      <c r="I5" s="3"/>
      <c r="J5" s="3"/>
      <c r="K5" s="3"/>
      <c r="L5" s="3"/>
      <c r="M5" s="3"/>
      <c r="N5" s="3"/>
      <c r="O5" s="3"/>
      <c r="P5" s="3"/>
      <c r="Q5" s="3"/>
      <c r="R5" s="3"/>
    </row>
    <row r="6" spans="2:18" ht="15" customHeight="1" x14ac:dyDescent="0.2">
      <c r="B6" s="3" t="s">
        <v>69</v>
      </c>
      <c r="C6" s="3"/>
      <c r="D6" s="3"/>
      <c r="E6" s="3"/>
      <c r="F6" s="3"/>
      <c r="G6" s="126">
        <v>2.5</v>
      </c>
      <c r="H6" s="28" t="s">
        <v>182</v>
      </c>
      <c r="I6" s="3"/>
      <c r="J6" s="3"/>
      <c r="K6" s="3"/>
      <c r="L6" s="3"/>
      <c r="M6" s="3"/>
      <c r="N6" s="3"/>
      <c r="O6" s="3"/>
      <c r="P6" s="3"/>
      <c r="Q6" s="3"/>
      <c r="R6" s="3"/>
    </row>
    <row r="7" spans="2:18" ht="15" customHeight="1" x14ac:dyDescent="0.2">
      <c r="B7" s="3" t="s">
        <v>54</v>
      </c>
      <c r="C7" s="3"/>
      <c r="D7" s="3"/>
      <c r="E7" s="3"/>
      <c r="F7" s="3"/>
      <c r="G7" s="3">
        <v>0</v>
      </c>
      <c r="H7" s="28" t="s">
        <v>182</v>
      </c>
      <c r="I7" s="3"/>
      <c r="J7" s="3"/>
      <c r="K7" s="3"/>
      <c r="L7" s="3"/>
      <c r="M7" s="3"/>
      <c r="N7" s="3"/>
      <c r="O7" s="3"/>
      <c r="P7" s="3"/>
      <c r="Q7" s="3"/>
      <c r="R7" s="3"/>
    </row>
    <row r="8" spans="2:18" ht="15" customHeight="1" x14ac:dyDescent="0.2">
      <c r="B8" s="3" t="s">
        <v>55</v>
      </c>
      <c r="C8" s="3"/>
      <c r="D8" s="3"/>
      <c r="E8" s="3"/>
      <c r="F8" s="3"/>
      <c r="G8" s="37">
        <v>0.26319999999999999</v>
      </c>
      <c r="H8" s="28" t="s">
        <v>182</v>
      </c>
      <c r="I8" s="3"/>
      <c r="J8" s="3"/>
      <c r="K8" s="3"/>
      <c r="L8" s="3"/>
      <c r="M8" s="3"/>
      <c r="N8" s="3"/>
      <c r="O8" s="3"/>
      <c r="P8" s="3"/>
      <c r="Q8" s="3"/>
      <c r="R8" s="3"/>
    </row>
    <row r="9" spans="2:18" ht="15" customHeight="1" x14ac:dyDescent="0.2">
      <c r="B9" s="3" t="s">
        <v>53</v>
      </c>
      <c r="C9" s="3"/>
      <c r="D9" s="3"/>
      <c r="E9" s="3"/>
      <c r="F9" s="3"/>
      <c r="G9" s="40">
        <v>1</v>
      </c>
      <c r="H9" s="28"/>
      <c r="I9" s="3"/>
      <c r="Q9" s="3"/>
      <c r="R9" s="3"/>
    </row>
    <row r="10" spans="2:18" ht="15" customHeight="1" x14ac:dyDescent="0.2">
      <c r="B10" s="3" t="s">
        <v>52</v>
      </c>
      <c r="C10" s="3"/>
      <c r="D10" s="3"/>
      <c r="E10" s="3"/>
      <c r="F10" s="3"/>
      <c r="G10" s="37">
        <v>0.26319999999999999</v>
      </c>
      <c r="H10" s="28" t="s">
        <v>182</v>
      </c>
      <c r="I10" s="3"/>
      <c r="J10" s="3"/>
      <c r="K10" s="3"/>
      <c r="L10" s="3"/>
      <c r="M10" s="3"/>
      <c r="N10" s="3"/>
      <c r="O10" s="3"/>
      <c r="P10" s="3"/>
      <c r="Q10" s="3"/>
      <c r="R10" s="3"/>
    </row>
    <row r="11" spans="2:18" ht="15" customHeight="1" x14ac:dyDescent="0.2">
      <c r="B11" s="3" t="s">
        <v>50</v>
      </c>
      <c r="C11" s="3"/>
      <c r="D11" s="3"/>
      <c r="E11" s="3"/>
      <c r="F11" s="3"/>
      <c r="G11" s="37">
        <v>0.10528</v>
      </c>
      <c r="H11" s="3" t="s">
        <v>2</v>
      </c>
      <c r="I11" s="3"/>
      <c r="J11" s="3"/>
      <c r="K11" s="3"/>
      <c r="L11" s="3"/>
      <c r="M11" s="3"/>
      <c r="N11" s="3"/>
      <c r="O11" s="3"/>
      <c r="P11" s="3"/>
      <c r="Q11" s="3"/>
      <c r="R11" s="3"/>
    </row>
    <row r="12" spans="2:18" ht="15" customHeight="1" x14ac:dyDescent="0.2">
      <c r="B12" s="3"/>
      <c r="C12" s="3"/>
      <c r="D12" s="3"/>
      <c r="E12" s="3"/>
      <c r="F12" s="3"/>
      <c r="G12" s="37"/>
      <c r="H12" s="3"/>
      <c r="I12" s="3"/>
      <c r="J12" s="3"/>
      <c r="K12" s="3"/>
      <c r="L12" s="3"/>
      <c r="M12" s="3"/>
      <c r="N12" s="3"/>
      <c r="O12" s="3"/>
      <c r="P12" s="3"/>
      <c r="Q12" s="3"/>
      <c r="R12" s="3"/>
    </row>
    <row r="13" spans="2:18" ht="15" customHeight="1" thickBot="1" x14ac:dyDescent="0.35">
      <c r="B13" s="198" t="s">
        <v>68</v>
      </c>
      <c r="C13" s="198"/>
      <c r="D13" s="198"/>
      <c r="E13" s="198"/>
      <c r="F13" s="198"/>
      <c r="G13" s="198"/>
      <c r="H13" s="198"/>
      <c r="I13" s="3"/>
      <c r="J13" s="3"/>
      <c r="K13" s="3"/>
      <c r="L13" s="3"/>
      <c r="M13" s="3"/>
      <c r="N13" s="3"/>
      <c r="O13" s="3"/>
      <c r="P13" s="3"/>
      <c r="Q13" s="3"/>
      <c r="R13" s="3"/>
    </row>
    <row r="14" spans="2:18" ht="15" customHeight="1" thickTop="1" x14ac:dyDescent="0.2">
      <c r="B14" s="3"/>
      <c r="C14" s="3"/>
      <c r="D14" s="3"/>
      <c r="E14" s="3"/>
      <c r="F14" s="3"/>
      <c r="G14" s="3"/>
      <c r="H14" s="3"/>
      <c r="I14" s="3"/>
      <c r="J14" s="3"/>
      <c r="K14" s="3"/>
      <c r="L14" s="3"/>
      <c r="M14" s="3"/>
      <c r="N14" s="3"/>
      <c r="O14" s="3"/>
      <c r="P14" s="3"/>
      <c r="Q14" s="3"/>
      <c r="R14" s="3"/>
    </row>
    <row r="15" spans="2:18" ht="15" customHeight="1" x14ac:dyDescent="0.2">
      <c r="B15" s="3" t="s">
        <v>75</v>
      </c>
      <c r="C15" s="3"/>
      <c r="D15" s="3"/>
      <c r="E15" s="3"/>
      <c r="F15" s="3"/>
      <c r="G15" s="159">
        <v>0.9</v>
      </c>
      <c r="H15" s="3"/>
      <c r="I15" s="3"/>
      <c r="J15" s="3"/>
      <c r="K15" s="3"/>
      <c r="L15" s="3"/>
      <c r="M15" s="3"/>
      <c r="N15" s="3"/>
      <c r="O15" s="3"/>
      <c r="P15" s="3"/>
      <c r="Q15" s="3"/>
      <c r="R15" s="3"/>
    </row>
    <row r="16" spans="2:18" ht="15" customHeight="1" x14ac:dyDescent="0.2">
      <c r="B16" s="3" t="s">
        <v>70</v>
      </c>
      <c r="C16" s="3"/>
      <c r="D16" s="3"/>
      <c r="E16" s="3"/>
      <c r="F16" s="3"/>
      <c r="G16" s="37">
        <f>Application_Factor</f>
        <v>0.9</v>
      </c>
      <c r="H16" s="3"/>
      <c r="I16" s="3"/>
      <c r="J16" s="3"/>
      <c r="K16" s="3"/>
      <c r="L16" s="3"/>
      <c r="M16" s="3"/>
      <c r="N16" s="3"/>
      <c r="O16" s="3"/>
      <c r="P16" s="3"/>
      <c r="Q16" s="3"/>
      <c r="R16" s="3"/>
    </row>
    <row r="17" spans="2:20" ht="15" customHeight="1" x14ac:dyDescent="0.2">
      <c r="B17" s="3" t="s">
        <v>50</v>
      </c>
      <c r="C17" s="3"/>
      <c r="D17" s="3"/>
      <c r="E17" s="3"/>
      <c r="F17" s="3"/>
      <c r="G17" s="37">
        <f>Application_Conversion_Factor</f>
        <v>1</v>
      </c>
      <c r="H17" s="51"/>
      <c r="I17" s="3"/>
      <c r="J17" s="3"/>
      <c r="K17" s="3"/>
      <c r="L17" s="3"/>
      <c r="M17" s="3"/>
      <c r="N17" s="3"/>
      <c r="O17" s="3"/>
      <c r="P17" s="3"/>
      <c r="Q17" s="3"/>
      <c r="R17" s="3"/>
    </row>
    <row r="18" spans="2:20" ht="15" customHeight="1" x14ac:dyDescent="0.2"/>
    <row r="19" spans="2:20" ht="15" x14ac:dyDescent="0.2">
      <c r="B19" s="89" t="s">
        <v>105</v>
      </c>
      <c r="C19" s="89"/>
      <c r="D19" s="89"/>
      <c r="E19" s="89"/>
      <c r="F19" s="89"/>
      <c r="G19" s="89"/>
      <c r="H19" s="89"/>
      <c r="I19" s="89"/>
      <c r="J19" s="89"/>
      <c r="K19" s="89"/>
      <c r="L19" s="89"/>
      <c r="M19" s="89"/>
      <c r="N19" s="89"/>
      <c r="O19" s="89"/>
      <c r="P19" s="89"/>
      <c r="Q19" s="89"/>
      <c r="R19" s="89"/>
      <c r="S19" s="89"/>
      <c r="T19" s="89"/>
    </row>
    <row r="20" spans="2:20" ht="95.1" customHeight="1" x14ac:dyDescent="0.2">
      <c r="B20" s="98" t="s">
        <v>9</v>
      </c>
      <c r="C20" s="98" t="s">
        <v>11</v>
      </c>
      <c r="D20" s="97" t="s">
        <v>76</v>
      </c>
      <c r="E20" s="13" t="s">
        <v>228</v>
      </c>
      <c r="F20" s="13" t="s">
        <v>229</v>
      </c>
      <c r="G20" s="13" t="s">
        <v>188</v>
      </c>
      <c r="H20" s="13" t="s">
        <v>230</v>
      </c>
      <c r="I20" s="13" t="s">
        <v>176</v>
      </c>
      <c r="J20" s="13" t="s">
        <v>231</v>
      </c>
      <c r="K20" s="13" t="s">
        <v>177</v>
      </c>
      <c r="L20" s="13" t="s">
        <v>232</v>
      </c>
      <c r="M20" s="12" t="s">
        <v>181</v>
      </c>
      <c r="N20" s="12" t="s">
        <v>180</v>
      </c>
      <c r="O20" s="12" t="s">
        <v>179</v>
      </c>
      <c r="P20" s="12" t="s">
        <v>189</v>
      </c>
      <c r="Q20" s="97" t="s">
        <v>60</v>
      </c>
      <c r="R20" s="97" t="s">
        <v>61</v>
      </c>
      <c r="S20" s="97" t="s">
        <v>62</v>
      </c>
      <c r="T20" s="97" t="s">
        <v>63</v>
      </c>
    </row>
    <row r="21" spans="2:20" ht="15" customHeight="1" x14ac:dyDescent="0.2">
      <c r="B21" s="99" t="s">
        <v>172</v>
      </c>
      <c r="C21" s="99" t="str">
        <f>P_Compound_Name</f>
        <v>Pyrithione</v>
      </c>
      <c r="D21" s="56">
        <v>100</v>
      </c>
      <c r="E21" s="141">
        <v>8.4648869383335104</v>
      </c>
      <c r="F21" s="100">
        <v>2.4185392349958401</v>
      </c>
      <c r="G21" s="100">
        <v>8.3561079871894101E-4</v>
      </c>
      <c r="H21" s="100">
        <v>2.3874595360211999E-4</v>
      </c>
      <c r="I21" s="101" t="e">
        <f t="shared" ref="I21:L22" si="0">((E21/100)*$D21)*(P_Leaching_Conversion_Factor*Application_Conversion_Factor)+P_Background_SW_Freshwater</f>
        <v>#DIV/0!</v>
      </c>
      <c r="J21" s="101" t="e">
        <f t="shared" si="0"/>
        <v>#DIV/0!</v>
      </c>
      <c r="K21" s="101" t="e">
        <f t="shared" si="0"/>
        <v>#DIV/0!</v>
      </c>
      <c r="L21" s="101" t="e">
        <f t="shared" si="0"/>
        <v>#DIV/0!</v>
      </c>
      <c r="M21" s="101">
        <f>P_PNEC_Aquatic_Inside</f>
        <v>1.7600000000000001E-2</v>
      </c>
      <c r="N21" s="101">
        <f>P_PNEC_Sediment_Inside</f>
        <v>8.5000000000000006E-3</v>
      </c>
      <c r="O21" s="101">
        <f>P_PNEC_Aquatic_Surrounding</f>
        <v>1.7600000000000001E-2</v>
      </c>
      <c r="P21" s="101">
        <f>P_PNEC_Sediment_Surrounding</f>
        <v>8.5000000000000006E-3</v>
      </c>
      <c r="Q21" s="101" t="e">
        <f>I21/P_PNEC_Aquatic_Inside</f>
        <v>#DIV/0!</v>
      </c>
      <c r="R21" s="101" t="e">
        <f>J21/P_PNEC_Sediment_Inside</f>
        <v>#DIV/0!</v>
      </c>
      <c r="S21" s="101" t="e">
        <f>K21/P_PNEC_Aquatic_Surrounding</f>
        <v>#DIV/0!</v>
      </c>
      <c r="T21" s="101" t="e">
        <f>L21/P_PNEC_Sediment_Surrounding</f>
        <v>#DIV/0!</v>
      </c>
    </row>
    <row r="22" spans="2:20" ht="15" customHeight="1" x14ac:dyDescent="0.2">
      <c r="B22" s="99" t="s">
        <v>173</v>
      </c>
      <c r="C22" s="99" t="str">
        <f>P_Compound_Name</f>
        <v>Pyrithione</v>
      </c>
      <c r="D22" s="56">
        <v>100</v>
      </c>
      <c r="E22" s="100">
        <v>2.9877011081576401</v>
      </c>
      <c r="F22" s="100">
        <v>1.97935188144445</v>
      </c>
      <c r="G22" s="100">
        <v>5.4334805160639599E-3</v>
      </c>
      <c r="H22" s="100">
        <v>3.5996806499474601E-3</v>
      </c>
      <c r="I22" s="101" t="e">
        <f t="shared" si="0"/>
        <v>#DIV/0!</v>
      </c>
      <c r="J22" s="101" t="e">
        <f t="shared" si="0"/>
        <v>#DIV/0!</v>
      </c>
      <c r="K22" s="101" t="e">
        <f t="shared" si="0"/>
        <v>#DIV/0!</v>
      </c>
      <c r="L22" s="101" t="e">
        <f t="shared" si="0"/>
        <v>#DIV/0!</v>
      </c>
      <c r="M22" s="101">
        <f>P_PNEC_Aquatic_Inside</f>
        <v>1.7600000000000001E-2</v>
      </c>
      <c r="N22" s="101">
        <f>P_PNEC_Sediment_Inside</f>
        <v>8.5000000000000006E-3</v>
      </c>
      <c r="O22" s="101">
        <f>P_PNEC_Aquatic_Surrounding</f>
        <v>1.7600000000000001E-2</v>
      </c>
      <c r="P22" s="101">
        <f>P_PNEC_Sediment_Surrounding</f>
        <v>8.5000000000000006E-3</v>
      </c>
      <c r="Q22" s="101" t="e">
        <f>I22/P_PNEC_Aquatic_Inside</f>
        <v>#DIV/0!</v>
      </c>
      <c r="R22" s="101" t="e">
        <f>J22/P_PNEC_Sediment_Inside</f>
        <v>#DIV/0!</v>
      </c>
      <c r="S22" s="101" t="e">
        <f>K22/P_PNEC_Aquatic_Surrounding</f>
        <v>#DIV/0!</v>
      </c>
      <c r="T22" s="101" t="e">
        <f>L22/P_PNEC_Sediment_Surrounding</f>
        <v>#DIV/0!</v>
      </c>
    </row>
  </sheetData>
  <mergeCells count="3">
    <mergeCell ref="B2:R2"/>
    <mergeCell ref="B4:H4"/>
    <mergeCell ref="B13:H13"/>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B2:Q35"/>
  <sheetViews>
    <sheetView zoomScale="90" zoomScaleNormal="90" workbookViewId="0"/>
  </sheetViews>
  <sheetFormatPr defaultRowHeight="12.75" x14ac:dyDescent="0.2"/>
  <cols>
    <col min="1" max="1" width="9" style="3"/>
    <col min="2" max="2" width="64.375" style="3" customWidth="1"/>
    <col min="3" max="16384" width="9" style="3"/>
  </cols>
  <sheetData>
    <row r="2" spans="2:17" ht="21" thickBot="1" x14ac:dyDescent="0.25">
      <c r="B2" s="168" t="s">
        <v>103</v>
      </c>
      <c r="C2" s="168"/>
      <c r="D2" s="168"/>
      <c r="E2" s="168"/>
      <c r="F2" s="168"/>
      <c r="G2" s="168"/>
      <c r="H2" s="168"/>
      <c r="I2" s="168"/>
      <c r="J2" s="168"/>
      <c r="K2" s="168"/>
      <c r="L2" s="168"/>
      <c r="M2" s="168"/>
      <c r="N2" s="4"/>
      <c r="O2" s="4"/>
      <c r="P2" s="4"/>
    </row>
    <row r="3" spans="2:17" ht="13.5" thickTop="1" x14ac:dyDescent="0.2">
      <c r="B3" s="148" t="str">
        <f>Tooltype</f>
        <v>Freshwater calculator tool</v>
      </c>
      <c r="C3" s="63"/>
      <c r="D3" s="63"/>
      <c r="E3" s="63"/>
      <c r="F3" s="63"/>
      <c r="G3" s="63"/>
      <c r="H3" s="63"/>
      <c r="I3" s="63"/>
      <c r="J3" s="63"/>
      <c r="K3" s="63"/>
      <c r="L3" s="63"/>
      <c r="M3" s="63"/>
      <c r="N3" s="63"/>
      <c r="O3" s="63"/>
      <c r="P3" s="63"/>
      <c r="Q3" s="63"/>
    </row>
    <row r="4" spans="2:17" ht="18" x14ac:dyDescent="0.2">
      <c r="B4" s="1" t="s">
        <v>8</v>
      </c>
      <c r="C4" s="63"/>
      <c r="D4" s="63"/>
      <c r="E4" s="63"/>
      <c r="F4" s="63"/>
      <c r="G4" s="63"/>
      <c r="H4" s="63"/>
      <c r="I4" s="63"/>
      <c r="J4" s="63"/>
      <c r="K4" s="63"/>
      <c r="L4" s="63"/>
      <c r="M4" s="63"/>
      <c r="N4" s="63"/>
      <c r="O4" s="63"/>
      <c r="P4" s="63"/>
      <c r="Q4" s="63"/>
    </row>
    <row r="5" spans="2:17" ht="12.75" customHeight="1" x14ac:dyDescent="0.2">
      <c r="B5" s="4"/>
      <c r="C5" s="4"/>
      <c r="D5" s="4"/>
      <c r="E5" s="4"/>
      <c r="F5" s="4"/>
      <c r="G5" s="4"/>
      <c r="H5" s="4"/>
      <c r="I5" s="4"/>
      <c r="J5" s="4"/>
      <c r="K5" s="4"/>
      <c r="L5" s="4"/>
      <c r="M5" s="4"/>
      <c r="N5" s="4"/>
      <c r="O5" s="4"/>
      <c r="P5" s="4"/>
    </row>
    <row r="6" spans="2:17" ht="12.75" customHeight="1" x14ac:dyDescent="0.2">
      <c r="B6" s="81" t="s">
        <v>92</v>
      </c>
      <c r="C6" s="82"/>
      <c r="D6" s="4"/>
      <c r="E6" s="4"/>
      <c r="F6" s="4"/>
      <c r="G6" s="4"/>
      <c r="H6" s="4"/>
      <c r="I6" s="4"/>
      <c r="J6" s="4"/>
      <c r="K6" s="4"/>
      <c r="L6" s="4"/>
      <c r="M6" s="4"/>
      <c r="N6" s="4"/>
      <c r="O6" s="4"/>
      <c r="P6" s="4"/>
    </row>
    <row r="7" spans="2:17" ht="12.75" customHeight="1" x14ac:dyDescent="0.2">
      <c r="B7" s="81"/>
      <c r="C7" s="82"/>
      <c r="D7" s="4"/>
      <c r="E7" s="4"/>
      <c r="F7" s="4"/>
      <c r="G7" s="4"/>
      <c r="H7" s="4"/>
      <c r="I7" s="4"/>
      <c r="J7" s="4"/>
      <c r="K7" s="4"/>
      <c r="L7" s="4"/>
      <c r="M7" s="4"/>
      <c r="N7" s="4"/>
      <c r="O7" s="4"/>
      <c r="P7" s="4"/>
    </row>
    <row r="8" spans="2:17" ht="12.75" customHeight="1" x14ac:dyDescent="0.2">
      <c r="B8" s="82" t="s">
        <v>93</v>
      </c>
      <c r="C8" s="4"/>
      <c r="D8" s="4"/>
      <c r="E8" s="4"/>
      <c r="F8" s="4"/>
      <c r="G8" s="4"/>
      <c r="H8" s="4"/>
      <c r="I8" s="4"/>
      <c r="J8" s="4"/>
      <c r="K8" s="4"/>
      <c r="L8" s="4"/>
      <c r="M8" s="4"/>
      <c r="N8" s="4"/>
      <c r="O8" s="4"/>
      <c r="P8" s="4"/>
    </row>
    <row r="9" spans="2:17" ht="12.75" customHeight="1" x14ac:dyDescent="0.2">
      <c r="B9" s="4"/>
      <c r="C9" s="4"/>
      <c r="D9" s="4"/>
      <c r="E9" s="4"/>
      <c r="F9" s="4"/>
      <c r="G9" s="4"/>
      <c r="H9" s="4"/>
      <c r="I9" s="4"/>
      <c r="J9" s="4"/>
      <c r="K9" s="4"/>
      <c r="L9" s="4"/>
      <c r="M9" s="4"/>
      <c r="N9" s="4"/>
      <c r="O9" s="4"/>
      <c r="P9" s="4"/>
    </row>
    <row r="10" spans="2:17" ht="12.75" customHeight="1" x14ac:dyDescent="0.2">
      <c r="B10" s="84" t="s">
        <v>94</v>
      </c>
      <c r="C10" s="83"/>
      <c r="D10" s="83"/>
      <c r="E10" s="83"/>
      <c r="F10" s="83"/>
      <c r="G10" s="83"/>
      <c r="H10" s="83"/>
      <c r="I10" s="83"/>
      <c r="J10" s="83"/>
      <c r="K10" s="83"/>
      <c r="L10" s="83"/>
      <c r="M10" s="83"/>
      <c r="N10" s="83"/>
      <c r="O10" s="83"/>
      <c r="P10" s="83"/>
    </row>
    <row r="11" spans="2:17" ht="12.75" customHeight="1" x14ac:dyDescent="0.2">
      <c r="B11" s="2"/>
      <c r="C11" s="5"/>
      <c r="D11" s="5"/>
      <c r="E11" s="5"/>
      <c r="F11" s="5"/>
      <c r="G11" s="5"/>
      <c r="H11" s="5"/>
      <c r="I11" s="5"/>
      <c r="J11" s="5"/>
      <c r="K11" s="5"/>
      <c r="L11" s="5"/>
      <c r="M11" s="5"/>
      <c r="N11" s="5"/>
      <c r="O11" s="5"/>
      <c r="P11" s="5"/>
    </row>
    <row r="12" spans="2:17" ht="12.75" customHeight="1" x14ac:dyDescent="0.2">
      <c r="B12" s="82" t="s">
        <v>190</v>
      </c>
      <c r="C12" s="5"/>
      <c r="D12" s="5"/>
      <c r="E12" s="5"/>
      <c r="F12" s="5"/>
      <c r="G12" s="5"/>
      <c r="H12" s="5"/>
      <c r="I12" s="5"/>
      <c r="J12" s="5"/>
      <c r="K12" s="5"/>
      <c r="L12" s="5"/>
      <c r="M12" s="5"/>
      <c r="N12" s="5"/>
      <c r="O12" s="5"/>
      <c r="P12" s="5"/>
    </row>
    <row r="13" spans="2:17" ht="12.75" customHeight="1" x14ac:dyDescent="0.2">
      <c r="B13" s="2"/>
      <c r="C13" s="5"/>
      <c r="D13" s="5"/>
      <c r="E13" s="5"/>
      <c r="F13" s="5"/>
      <c r="G13" s="5"/>
      <c r="H13" s="5"/>
      <c r="I13" s="5"/>
      <c r="J13" s="5"/>
      <c r="K13" s="5"/>
      <c r="L13" s="5"/>
      <c r="M13" s="5"/>
      <c r="N13" s="5"/>
      <c r="O13" s="5"/>
      <c r="P13" s="5"/>
    </row>
    <row r="14" spans="2:17" ht="12.75" customHeight="1" x14ac:dyDescent="0.2">
      <c r="B14" s="84" t="s">
        <v>95</v>
      </c>
      <c r="C14" s="83"/>
      <c r="D14" s="83"/>
      <c r="E14" s="83"/>
      <c r="F14" s="83"/>
      <c r="G14" s="83"/>
      <c r="H14" s="83"/>
      <c r="I14" s="83"/>
      <c r="J14" s="83"/>
      <c r="K14" s="83"/>
      <c r="L14" s="83"/>
      <c r="M14" s="83"/>
      <c r="N14" s="83"/>
      <c r="O14" s="83"/>
      <c r="P14" s="83"/>
    </row>
    <row r="15" spans="2:17" ht="12.75" customHeight="1" x14ac:dyDescent="0.2"/>
    <row r="16" spans="2:17" ht="12.75" customHeight="1" x14ac:dyDescent="0.2">
      <c r="B16" s="85" t="s">
        <v>191</v>
      </c>
    </row>
    <row r="17" spans="2:2" ht="12.75" customHeight="1" x14ac:dyDescent="0.2"/>
    <row r="18" spans="2:2" ht="12.75" customHeight="1" x14ac:dyDescent="0.2">
      <c r="B18" s="85" t="s">
        <v>193</v>
      </c>
    </row>
    <row r="19" spans="2:2" ht="12.75" customHeight="1" x14ac:dyDescent="0.2"/>
    <row r="20" spans="2:2" ht="12.75" customHeight="1" x14ac:dyDescent="0.2">
      <c r="B20" s="110" t="s">
        <v>194</v>
      </c>
    </row>
    <row r="21" spans="2:2" ht="12.75" customHeight="1" x14ac:dyDescent="0.2"/>
    <row r="22" spans="2:2" ht="12.75" customHeight="1" x14ac:dyDescent="0.2">
      <c r="B22" s="85" t="s">
        <v>192</v>
      </c>
    </row>
    <row r="23" spans="2:2" ht="12.75" customHeight="1" x14ac:dyDescent="0.2"/>
    <row r="24" spans="2:2" ht="12.75" customHeight="1" x14ac:dyDescent="0.2"/>
    <row r="25" spans="2:2" ht="12.75" customHeight="1" x14ac:dyDescent="0.2"/>
    <row r="26" spans="2:2" ht="12.75" customHeight="1" x14ac:dyDescent="0.2"/>
    <row r="27" spans="2:2" ht="12.75" customHeight="1" x14ac:dyDescent="0.2"/>
    <row r="28" spans="2:2" ht="12.75" customHeight="1" x14ac:dyDescent="0.2"/>
    <row r="29" spans="2:2" ht="12.75" customHeight="1" x14ac:dyDescent="0.2"/>
    <row r="30" spans="2:2" ht="12.75" customHeight="1" x14ac:dyDescent="0.2"/>
    <row r="31" spans="2:2" ht="12.75" customHeight="1" x14ac:dyDescent="0.2"/>
    <row r="32" spans="2:2" ht="12.75" customHeight="1" x14ac:dyDescent="0.2"/>
    <row r="33" ht="12.75" customHeight="1" x14ac:dyDescent="0.2"/>
    <row r="34" ht="12.75" customHeight="1" x14ac:dyDescent="0.2"/>
    <row r="35" ht="12.75" customHeight="1" x14ac:dyDescent="0.2"/>
  </sheetData>
  <mergeCells count="1">
    <mergeCell ref="B2:M2"/>
  </mergeCells>
  <hyperlinks>
    <hyperlink ref="B6" location="' Introduction'!A1" tooltip="Introduction" display="Introduction"/>
    <hyperlink ref="B8" location="Instructions!A1" tooltip="Instructions for users" display="Instructions"/>
    <hyperlink ref="B10" location="User_Input!A1" tooltip="Input of PNECs, background concentration (if applicable), leaching rate and application factor" display="User_Input"/>
    <hyperlink ref="B14" location="'Output_EU marinas'!A1" tooltip="All output compiled" display="Output_Summary"/>
    <hyperlink ref="B12" location="Active_Subst_Input_Parameters!A1" tooltip="Screenshot of active substance parameters used to calculate underlying PEC values" display="Active_Substance_Input_Parameters"/>
    <hyperlink ref="B16" location="'Output_EU marinas'!A1" tooltip="PECs and PNECs for the EU marinas" display="Output EU marinas"/>
    <hyperlink ref="B22" location="OECD_Marina_Calc!A1" tooltip="PEC calculatons for two regulatory scenarios (OECD-CH and NL)" display="OECD_Marina_Calculations"/>
    <hyperlink ref="B18" location="Index!A1" tooltip="PECs and PNECs of two regulatory marinas (OECD-CH and NL)" display="Output_Regulatory Marinas"/>
    <hyperlink ref="B20" location="Index!A1" tooltip="PEC calculations for the EU freshwater marinas" display="EU_Marinas_Scenario_Calculation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M80"/>
  <sheetViews>
    <sheetView zoomScale="90" zoomScaleNormal="90" workbookViewId="0"/>
  </sheetViews>
  <sheetFormatPr defaultColWidth="0" defaultRowHeight="12.75" zeroHeight="1" x14ac:dyDescent="0.2"/>
  <cols>
    <col min="1" max="1" width="9" style="3" customWidth="1"/>
    <col min="2" max="2" width="48.375" style="3" customWidth="1"/>
    <col min="3" max="4" width="10.625" style="3" customWidth="1"/>
    <col min="5" max="5" width="11.125" style="3" customWidth="1"/>
    <col min="6" max="6" width="15.125" style="3" bestFit="1" customWidth="1"/>
    <col min="7" max="7" width="62" style="3" customWidth="1"/>
    <col min="8" max="8" width="9" style="3" customWidth="1"/>
    <col min="9" max="9" width="10.125" style="3" bestFit="1" customWidth="1"/>
    <col min="10" max="10" width="16.875" style="3" customWidth="1"/>
    <col min="11" max="11" width="9" style="3" customWidth="1"/>
    <col min="12" max="12" width="34.125" style="3" customWidth="1"/>
    <col min="13" max="13" width="9" style="3" customWidth="1"/>
    <col min="14" max="16384" width="9" style="3" hidden="1"/>
  </cols>
  <sheetData>
    <row r="1" spans="2:12" x14ac:dyDescent="0.2"/>
    <row r="2" spans="2:12" ht="21" thickBot="1" x14ac:dyDescent="0.35">
      <c r="B2" s="169" t="s">
        <v>59</v>
      </c>
      <c r="C2" s="169"/>
      <c r="D2" s="169"/>
      <c r="E2" s="169"/>
      <c r="F2" s="169"/>
      <c r="G2" s="169"/>
      <c r="H2" s="169"/>
      <c r="I2" s="169"/>
      <c r="J2" s="169"/>
      <c r="K2" s="169"/>
      <c r="L2" s="169"/>
    </row>
    <row r="3" spans="2:12" ht="13.5" thickTop="1" x14ac:dyDescent="0.2">
      <c r="B3" s="148" t="str">
        <f>Tooltype</f>
        <v>Freshwater calculator tool</v>
      </c>
    </row>
    <row r="4" spans="2:12" x14ac:dyDescent="0.2"/>
    <row r="5" spans="2:12" ht="21" thickBot="1" x14ac:dyDescent="0.35">
      <c r="B5" s="151" t="s">
        <v>11</v>
      </c>
      <c r="G5" s="169" t="s">
        <v>67</v>
      </c>
      <c r="H5" s="169"/>
    </row>
    <row r="6" spans="2:12" ht="15" thickTop="1" x14ac:dyDescent="0.2">
      <c r="B6" s="153" t="str">
        <f>C_Compound_Name</f>
        <v>Copper</v>
      </c>
      <c r="C6"/>
      <c r="F6" s="52"/>
    </row>
    <row r="7" spans="2:12" x14ac:dyDescent="0.2">
      <c r="F7" s="52"/>
      <c r="G7" s="144" t="s">
        <v>67</v>
      </c>
      <c r="H7" s="94">
        <v>0.9</v>
      </c>
    </row>
    <row r="8" spans="2:12" x14ac:dyDescent="0.2">
      <c r="B8" s="52"/>
      <c r="C8" s="52"/>
      <c r="D8" s="52"/>
      <c r="E8" s="52"/>
      <c r="F8" s="52"/>
    </row>
    <row r="9" spans="2:12" ht="21" thickBot="1" x14ac:dyDescent="0.35">
      <c r="B9" s="169" t="s">
        <v>58</v>
      </c>
      <c r="C9" s="169"/>
      <c r="D9" s="169"/>
      <c r="E9" s="48"/>
      <c r="G9" s="38" t="s">
        <v>51</v>
      </c>
    </row>
    <row r="10" spans="2:12" ht="12.75" customHeight="1" thickTop="1" thickBot="1" x14ac:dyDescent="0.25">
      <c r="B10" s="52"/>
      <c r="C10" s="52"/>
      <c r="D10" s="52"/>
      <c r="E10" s="52"/>
    </row>
    <row r="11" spans="2:12" ht="26.25" customHeight="1" thickBot="1" x14ac:dyDescent="0.25">
      <c r="B11" s="52"/>
      <c r="C11" s="152" t="s">
        <v>71</v>
      </c>
      <c r="D11" s="152" t="s">
        <v>72</v>
      </c>
      <c r="E11" s="52"/>
      <c r="G11" s="142" t="s">
        <v>65</v>
      </c>
      <c r="H11" s="95"/>
      <c r="I11" s="39" t="s">
        <v>166</v>
      </c>
      <c r="J11" s="143" t="s">
        <v>66</v>
      </c>
    </row>
    <row r="12" spans="2:12" x14ac:dyDescent="0.2">
      <c r="B12" s="144" t="s">
        <v>3</v>
      </c>
      <c r="C12" s="94">
        <v>7.8</v>
      </c>
      <c r="D12" s="94">
        <v>7.8</v>
      </c>
      <c r="E12" s="145" t="s">
        <v>169</v>
      </c>
    </row>
    <row r="13" spans="2:12" x14ac:dyDescent="0.2">
      <c r="B13" s="144" t="s">
        <v>4</v>
      </c>
      <c r="C13" s="94">
        <v>87</v>
      </c>
      <c r="D13" s="94">
        <v>87</v>
      </c>
      <c r="E13" s="145" t="s">
        <v>170</v>
      </c>
    </row>
    <row r="14" spans="2:12" x14ac:dyDescent="0.2">
      <c r="E14" s="50"/>
    </row>
    <row r="15" spans="2:12" ht="21" thickBot="1" x14ac:dyDescent="0.35">
      <c r="B15" s="169" t="s">
        <v>56</v>
      </c>
      <c r="C15" s="169"/>
      <c r="D15" s="169"/>
      <c r="E15" s="48"/>
      <c r="G15" s="45" t="s">
        <v>22</v>
      </c>
      <c r="H15" s="45"/>
      <c r="I15" s="45"/>
      <c r="J15" s="45"/>
      <c r="K15" s="45"/>
      <c r="L15" s="45"/>
    </row>
    <row r="16" spans="2:12" ht="14.25" thickTop="1" thickBot="1" x14ac:dyDescent="0.25">
      <c r="B16" s="46"/>
    </row>
    <row r="17" spans="2:12" ht="18" thickBot="1" x14ac:dyDescent="0.35">
      <c r="B17" s="173" t="s">
        <v>165</v>
      </c>
      <c r="C17" s="173"/>
      <c r="D17" s="173"/>
      <c r="E17" s="49"/>
      <c r="G17" s="42" t="s">
        <v>16</v>
      </c>
      <c r="H17" s="43"/>
      <c r="I17" s="43"/>
      <c r="J17" s="43"/>
      <c r="K17" s="43"/>
      <c r="L17" s="44"/>
    </row>
    <row r="18" spans="2:12" ht="13.5" thickTop="1" x14ac:dyDescent="0.2">
      <c r="B18" s="46"/>
      <c r="E18"/>
      <c r="G18" s="21"/>
      <c r="H18" s="18"/>
      <c r="I18" s="18"/>
      <c r="J18" s="18"/>
      <c r="K18" s="18"/>
      <c r="L18" s="22"/>
    </row>
    <row r="19" spans="2:12" ht="25.5" x14ac:dyDescent="0.2">
      <c r="B19" s="144" t="s">
        <v>57</v>
      </c>
      <c r="C19" s="94">
        <v>0</v>
      </c>
      <c r="D19" s="115" t="s">
        <v>169</v>
      </c>
      <c r="E19"/>
      <c r="G19" s="146" t="s">
        <v>17</v>
      </c>
      <c r="H19" s="13" t="s">
        <v>18</v>
      </c>
      <c r="I19" s="13" t="s">
        <v>19</v>
      </c>
      <c r="J19" s="13" t="s">
        <v>20</v>
      </c>
      <c r="K19" s="13" t="s">
        <v>23</v>
      </c>
      <c r="L19" s="14" t="s">
        <v>21</v>
      </c>
    </row>
    <row r="20" spans="2:12" x14ac:dyDescent="0.2">
      <c r="B20" s="144" t="s">
        <v>4</v>
      </c>
      <c r="C20" s="94">
        <v>0</v>
      </c>
      <c r="D20" s="115" t="s">
        <v>170</v>
      </c>
      <c r="E20"/>
      <c r="G20" s="21"/>
      <c r="H20" s="18"/>
      <c r="I20" s="18"/>
      <c r="J20" s="18"/>
      <c r="K20" s="18"/>
      <c r="L20" s="22"/>
    </row>
    <row r="21" spans="2:12" ht="25.5" x14ac:dyDescent="0.2">
      <c r="B21"/>
      <c r="C21"/>
      <c r="D21"/>
      <c r="E21"/>
      <c r="G21" s="32" t="s">
        <v>24</v>
      </c>
      <c r="H21" s="26" t="s">
        <v>25</v>
      </c>
      <c r="I21" s="41"/>
      <c r="J21" s="28" t="s">
        <v>45</v>
      </c>
      <c r="K21" s="23" t="s">
        <v>47</v>
      </c>
      <c r="L21" s="16"/>
    </row>
    <row r="22" spans="2:12" x14ac:dyDescent="0.2">
      <c r="B22"/>
      <c r="C22"/>
      <c r="D22"/>
      <c r="E22"/>
      <c r="G22" s="32" t="s">
        <v>28</v>
      </c>
      <c r="H22" s="26" t="s">
        <v>26</v>
      </c>
      <c r="I22" s="41"/>
      <c r="J22" s="28" t="s">
        <v>2</v>
      </c>
      <c r="K22" s="23" t="s">
        <v>48</v>
      </c>
      <c r="L22" s="16"/>
    </row>
    <row r="23" spans="2:12" ht="29.25" customHeight="1" x14ac:dyDescent="0.2">
      <c r="B23"/>
      <c r="C23"/>
      <c r="D23"/>
      <c r="E23"/>
      <c r="G23" s="32" t="s">
        <v>29</v>
      </c>
      <c r="H23" s="26" t="s">
        <v>27</v>
      </c>
      <c r="I23" s="41"/>
      <c r="J23" s="28" t="s">
        <v>30</v>
      </c>
      <c r="K23" s="23" t="s">
        <v>48</v>
      </c>
      <c r="L23" s="16"/>
    </row>
    <row r="24" spans="2:12" ht="15" x14ac:dyDescent="0.2">
      <c r="B24"/>
      <c r="C24"/>
      <c r="D24"/>
      <c r="E24"/>
      <c r="G24" s="32" t="s">
        <v>31</v>
      </c>
      <c r="H24" s="27" t="s">
        <v>32</v>
      </c>
      <c r="I24" s="41"/>
      <c r="J24" s="28" t="s">
        <v>168</v>
      </c>
      <c r="K24" s="23" t="s">
        <v>48</v>
      </c>
      <c r="L24" s="16"/>
    </row>
    <row r="25" spans="2:12" x14ac:dyDescent="0.2">
      <c r="B25"/>
      <c r="C25"/>
      <c r="D25"/>
      <c r="E25"/>
      <c r="G25" s="32" t="s">
        <v>39</v>
      </c>
      <c r="H25" s="26" t="s">
        <v>33</v>
      </c>
      <c r="I25" s="41"/>
      <c r="J25" s="28" t="s">
        <v>167</v>
      </c>
      <c r="K25" s="23" t="s">
        <v>48</v>
      </c>
      <c r="L25" s="16"/>
    </row>
    <row r="26" spans="2:12" ht="29.25" customHeight="1" x14ac:dyDescent="0.2">
      <c r="B26"/>
      <c r="C26"/>
      <c r="D26"/>
      <c r="E26"/>
      <c r="G26" s="32" t="s">
        <v>184</v>
      </c>
      <c r="H26" s="26" t="s">
        <v>34</v>
      </c>
      <c r="I26" s="41"/>
      <c r="J26" s="28" t="s">
        <v>42</v>
      </c>
      <c r="K26" s="23" t="s">
        <v>48</v>
      </c>
      <c r="L26" s="16"/>
    </row>
    <row r="27" spans="2:12" x14ac:dyDescent="0.2">
      <c r="B27"/>
      <c r="C27"/>
      <c r="D27"/>
      <c r="E27"/>
      <c r="G27" s="32" t="s">
        <v>40</v>
      </c>
      <c r="H27" s="26" t="s">
        <v>35</v>
      </c>
      <c r="I27" s="41"/>
      <c r="J27" s="28" t="s">
        <v>41</v>
      </c>
      <c r="K27" s="23" t="s">
        <v>48</v>
      </c>
      <c r="L27" s="16"/>
    </row>
    <row r="28" spans="2:12" ht="15.75" thickBot="1" x14ac:dyDescent="0.25">
      <c r="B28"/>
      <c r="C28"/>
      <c r="D28"/>
      <c r="E28"/>
      <c r="G28" s="170" t="s">
        <v>36</v>
      </c>
      <c r="H28" s="171"/>
      <c r="I28" s="171"/>
      <c r="J28" s="171"/>
      <c r="K28" s="171"/>
      <c r="L28" s="172"/>
    </row>
    <row r="29" spans="2:12" ht="54" customHeight="1" thickTop="1" thickBot="1" x14ac:dyDescent="0.3">
      <c r="B29"/>
      <c r="C29"/>
      <c r="D29"/>
      <c r="E29"/>
      <c r="G29" s="32" t="s">
        <v>43</v>
      </c>
      <c r="H29" s="25" t="s">
        <v>37</v>
      </c>
      <c r="I29" s="34" t="e">
        <f>(C_La*C_a*C_Wa*C_ƿ*C_DFT)/C_VS</f>
        <v>#DIV/0!</v>
      </c>
      <c r="J29" s="28" t="s">
        <v>171</v>
      </c>
      <c r="K29" s="23" t="s">
        <v>46</v>
      </c>
      <c r="L29" s="16"/>
    </row>
    <row r="30" spans="2:12" ht="57.75" customHeight="1" thickTop="1" thickBot="1" x14ac:dyDescent="0.25">
      <c r="B30"/>
      <c r="C30"/>
      <c r="D30"/>
      <c r="E30"/>
      <c r="G30" s="31" t="s">
        <v>44</v>
      </c>
      <c r="H30" s="30" t="s">
        <v>38</v>
      </c>
      <c r="I30" s="35" t="e">
        <f>0.0329*(C_Mrel/C_t)</f>
        <v>#DIV/0!</v>
      </c>
      <c r="J30" s="29" t="s">
        <v>166</v>
      </c>
      <c r="K30" s="33" t="s">
        <v>46</v>
      </c>
      <c r="L30" s="24"/>
    </row>
    <row r="31" spans="2:12" x14ac:dyDescent="0.2">
      <c r="G31" s="19"/>
      <c r="H31" s="20"/>
    </row>
    <row r="32" spans="2:12" x14ac:dyDescent="0.2">
      <c r="G32" s="19"/>
      <c r="H32" s="20"/>
    </row>
    <row r="33" spans="2:7" ht="12.75" hidden="1" customHeight="1" x14ac:dyDescent="0.2"/>
    <row r="34" spans="2:7" ht="12.75" hidden="1" customHeight="1" x14ac:dyDescent="0.2"/>
    <row r="35" spans="2:7" ht="12.75" hidden="1" customHeight="1" x14ac:dyDescent="0.2"/>
    <row r="36" spans="2:7" ht="12.75" hidden="1" customHeight="1" x14ac:dyDescent="0.2"/>
    <row r="37" spans="2:7" ht="55.5" hidden="1" customHeight="1" x14ac:dyDescent="0.2"/>
    <row r="38" spans="2:7" ht="95.25" hidden="1" customHeight="1" x14ac:dyDescent="0.2"/>
    <row r="39" spans="2:7" ht="12.75" hidden="1" customHeight="1" x14ac:dyDescent="0.2"/>
    <row r="40" spans="2:7" ht="12.75" hidden="1" customHeight="1" x14ac:dyDescent="0.2">
      <c r="B40" s="19"/>
      <c r="C40" s="20"/>
    </row>
    <row r="41" spans="2:7" ht="12.75" hidden="1" customHeight="1" x14ac:dyDescent="0.2">
      <c r="B41" s="19"/>
      <c r="C41" s="20"/>
      <c r="E41" s="46"/>
      <c r="G41" s="46"/>
    </row>
    <row r="42" spans="2:7" ht="12.75" hidden="1" customHeight="1" x14ac:dyDescent="0.2">
      <c r="B42" s="46"/>
      <c r="C42" s="46"/>
      <c r="D42" s="46"/>
      <c r="E42" s="46"/>
      <c r="G42" s="36"/>
    </row>
    <row r="43" spans="2:7" ht="41.25" hidden="1" customHeight="1" x14ac:dyDescent="0.2">
      <c r="B43" s="46"/>
      <c r="C43" s="46"/>
      <c r="D43" s="46"/>
      <c r="F43" s="46"/>
      <c r="G43" s="36"/>
    </row>
    <row r="44" spans="2:7" ht="12.75" hidden="1" customHeight="1" x14ac:dyDescent="0.2">
      <c r="F44" s="36"/>
      <c r="G44" s="36"/>
    </row>
    <row r="45" spans="2:7" ht="12.75" hidden="1" customHeight="1" x14ac:dyDescent="0.2">
      <c r="F45" s="36"/>
      <c r="G45" s="36"/>
    </row>
    <row r="46" spans="2:7" ht="12.75" hidden="1" customHeight="1" x14ac:dyDescent="0.2">
      <c r="E46" s="46"/>
      <c r="F46" s="36"/>
      <c r="G46" s="36"/>
    </row>
    <row r="47" spans="2:7" ht="12.75" hidden="1" customHeight="1" x14ac:dyDescent="0.2">
      <c r="B47" s="46"/>
      <c r="C47" s="46"/>
      <c r="D47" s="46"/>
      <c r="E47" s="46"/>
      <c r="F47" s="36"/>
      <c r="G47" s="36"/>
    </row>
    <row r="48" spans="2:7" ht="12.75" hidden="1" customHeight="1" x14ac:dyDescent="0.2">
      <c r="B48" s="46"/>
      <c r="C48" s="46"/>
      <c r="D48" s="46"/>
      <c r="E48" s="46"/>
      <c r="F48" s="36"/>
      <c r="G48" s="36"/>
    </row>
    <row r="49" spans="2:7" ht="12.75" hidden="1" customHeight="1" x14ac:dyDescent="0.2">
      <c r="B49" s="46"/>
      <c r="C49" s="46"/>
      <c r="D49" s="46"/>
      <c r="E49" s="46"/>
      <c r="F49" s="36"/>
      <c r="G49" s="46"/>
    </row>
    <row r="50" spans="2:7" ht="12.75" hidden="1" customHeight="1" x14ac:dyDescent="0.2">
      <c r="B50" s="46"/>
      <c r="C50" s="46"/>
      <c r="D50" s="46"/>
      <c r="E50" s="46"/>
      <c r="F50" s="36"/>
      <c r="G50" s="36"/>
    </row>
    <row r="51" spans="2:7" ht="12.75" hidden="1" customHeight="1" x14ac:dyDescent="0.2">
      <c r="B51" s="46"/>
      <c r="C51" s="46"/>
      <c r="D51" s="46"/>
      <c r="E51" s="46"/>
      <c r="F51" s="46"/>
      <c r="G51" s="36"/>
    </row>
    <row r="52" spans="2:7" ht="12.75" hidden="1" customHeight="1" x14ac:dyDescent="0.2">
      <c r="B52" s="46"/>
      <c r="C52" s="46"/>
      <c r="D52" s="46"/>
      <c r="E52" s="46"/>
      <c r="F52" s="36"/>
      <c r="G52" s="36"/>
    </row>
    <row r="53" spans="2:7" ht="12.75" hidden="1" customHeight="1" x14ac:dyDescent="0.2">
      <c r="B53" s="46"/>
      <c r="C53" s="46"/>
      <c r="D53" s="46"/>
      <c r="E53" s="46"/>
      <c r="F53" s="36"/>
      <c r="G53" s="36"/>
    </row>
    <row r="54" spans="2:7" ht="12.75" hidden="1" customHeight="1" x14ac:dyDescent="0.2">
      <c r="B54" s="46"/>
      <c r="C54" s="46"/>
      <c r="D54" s="46"/>
      <c r="E54" s="46"/>
      <c r="F54" s="36"/>
      <c r="G54" s="36"/>
    </row>
    <row r="55" spans="2:7" ht="12.75" hidden="1" customHeight="1" x14ac:dyDescent="0.2">
      <c r="B55" s="46"/>
      <c r="C55" s="46"/>
      <c r="D55" s="46"/>
      <c r="E55" s="46"/>
      <c r="F55" s="36"/>
      <c r="G55" s="36"/>
    </row>
    <row r="56" spans="2:7" ht="12.75" hidden="1" customHeight="1" x14ac:dyDescent="0.2">
      <c r="B56" s="46"/>
      <c r="C56" s="46"/>
      <c r="D56" s="46"/>
      <c r="E56" s="46"/>
      <c r="F56" s="36"/>
      <c r="G56" s="36"/>
    </row>
    <row r="57" spans="2:7" ht="12.75" hidden="1" customHeight="1" x14ac:dyDescent="0.2">
      <c r="B57" s="46"/>
      <c r="C57" s="46"/>
      <c r="D57" s="46"/>
      <c r="E57" s="46"/>
      <c r="F57" s="36"/>
      <c r="G57" s="36"/>
    </row>
    <row r="58" spans="2:7" ht="12.75" hidden="1" customHeight="1" x14ac:dyDescent="0.2">
      <c r="B58" s="46"/>
      <c r="C58" s="46"/>
      <c r="D58" s="46"/>
      <c r="E58" s="46"/>
      <c r="F58" s="36"/>
      <c r="G58" s="36"/>
    </row>
    <row r="59" spans="2:7" ht="12.75" hidden="1" customHeight="1" x14ac:dyDescent="0.2">
      <c r="B59" s="46"/>
      <c r="C59" s="46"/>
      <c r="D59" s="46"/>
      <c r="E59" s="46"/>
      <c r="F59" s="36"/>
      <c r="G59" s="36"/>
    </row>
    <row r="60" spans="2:7" ht="12.75" hidden="1" customHeight="1" x14ac:dyDescent="0.2">
      <c r="B60" s="46"/>
      <c r="C60" s="46"/>
      <c r="D60" s="46"/>
      <c r="E60" s="46"/>
      <c r="F60" s="36"/>
      <c r="G60" s="46"/>
    </row>
    <row r="61" spans="2:7" ht="12.75" hidden="1" customHeight="1" x14ac:dyDescent="0.2">
      <c r="B61" s="46"/>
      <c r="C61" s="46"/>
      <c r="D61" s="46"/>
      <c r="E61" s="46"/>
      <c r="F61" s="36"/>
      <c r="G61" s="36"/>
    </row>
    <row r="62" spans="2:7" ht="12.75" hidden="1" customHeight="1" x14ac:dyDescent="0.2">
      <c r="B62" s="46"/>
      <c r="C62" s="46"/>
      <c r="D62" s="46"/>
      <c r="E62" s="46"/>
      <c r="F62" s="46"/>
      <c r="G62" s="36"/>
    </row>
    <row r="63" spans="2:7" ht="12.75" hidden="1" customHeight="1" x14ac:dyDescent="0.2">
      <c r="B63" s="46"/>
      <c r="C63" s="46"/>
      <c r="D63" s="46"/>
      <c r="E63" s="46"/>
      <c r="F63" s="36"/>
      <c r="G63" s="36"/>
    </row>
    <row r="64" spans="2:7" ht="12.75" hidden="1" customHeight="1" x14ac:dyDescent="0.2">
      <c r="B64" s="46"/>
      <c r="C64" s="46"/>
      <c r="D64" s="46"/>
      <c r="E64" s="46"/>
      <c r="F64" s="36"/>
      <c r="G64" s="36"/>
    </row>
    <row r="65" spans="2:7" ht="12.75" hidden="1" customHeight="1" x14ac:dyDescent="0.2">
      <c r="B65" s="46"/>
      <c r="C65" s="46"/>
      <c r="D65" s="46"/>
      <c r="E65" s="46"/>
      <c r="F65" s="36"/>
      <c r="G65" s="36"/>
    </row>
    <row r="66" spans="2:7" ht="12.75" hidden="1" customHeight="1" x14ac:dyDescent="0.2">
      <c r="B66" s="46"/>
      <c r="C66" s="46"/>
      <c r="D66" s="46"/>
      <c r="E66" s="46"/>
      <c r="F66" s="36"/>
      <c r="G66" s="36"/>
    </row>
    <row r="67" spans="2:7" ht="12.75" hidden="1" customHeight="1" x14ac:dyDescent="0.2">
      <c r="B67" s="46"/>
      <c r="C67" s="46"/>
      <c r="D67" s="46"/>
      <c r="E67" s="46"/>
      <c r="F67" s="36"/>
      <c r="G67" s="36"/>
    </row>
    <row r="68" spans="2:7" ht="12.75" hidden="1" customHeight="1" x14ac:dyDescent="0.2">
      <c r="B68" s="46"/>
      <c r="C68" s="46"/>
      <c r="D68" s="46"/>
      <c r="E68" s="46"/>
      <c r="F68" s="36"/>
      <c r="G68" s="36"/>
    </row>
    <row r="69" spans="2:7" ht="12.75" hidden="1" customHeight="1" x14ac:dyDescent="0.2">
      <c r="B69" s="46"/>
      <c r="C69" s="46"/>
      <c r="D69" s="46"/>
      <c r="F69" s="36"/>
    </row>
    <row r="70" spans="2:7" ht="12.75" hidden="1" customHeight="1" x14ac:dyDescent="0.2">
      <c r="F70" s="36"/>
    </row>
    <row r="71" spans="2:7" ht="12.75" hidden="1" customHeight="1" x14ac:dyDescent="0.2"/>
    <row r="72" spans="2:7" x14ac:dyDescent="0.2"/>
    <row r="73" spans="2:7" x14ac:dyDescent="0.2"/>
    <row r="74" spans="2:7" x14ac:dyDescent="0.2"/>
    <row r="75" spans="2:7" x14ac:dyDescent="0.2"/>
    <row r="76" spans="2:7" x14ac:dyDescent="0.2"/>
    <row r="77" spans="2:7" x14ac:dyDescent="0.2"/>
    <row r="78" spans="2:7" x14ac:dyDescent="0.2"/>
    <row r="79" spans="2:7" x14ac:dyDescent="0.2"/>
    <row r="80" spans="2:7" x14ac:dyDescent="0.2"/>
  </sheetData>
  <mergeCells count="6">
    <mergeCell ref="B15:D15"/>
    <mergeCell ref="B9:D9"/>
    <mergeCell ref="G28:L28"/>
    <mergeCell ref="B2:L2"/>
    <mergeCell ref="G5:H5"/>
    <mergeCell ref="B17:D1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82"/>
  <sheetViews>
    <sheetView zoomScale="90" zoomScaleNormal="90" workbookViewId="0"/>
  </sheetViews>
  <sheetFormatPr defaultColWidth="0" defaultRowHeight="12.75" customHeight="1" zeroHeight="1" x14ac:dyDescent="0.2"/>
  <cols>
    <col min="1" max="1" width="9" style="3" customWidth="1"/>
    <col min="2" max="2" width="48.375" style="3" customWidth="1"/>
    <col min="3" max="4" width="10.625" style="3" customWidth="1"/>
    <col min="5" max="5" width="11.125" style="3" customWidth="1"/>
    <col min="6" max="6" width="15.125" style="3" bestFit="1" customWidth="1"/>
    <col min="7" max="7" width="62" style="3" customWidth="1"/>
    <col min="8" max="8" width="9" style="3" customWidth="1"/>
    <col min="9" max="9" width="10.125" style="3" bestFit="1" customWidth="1"/>
    <col min="10" max="10" width="16.875" style="3" customWidth="1"/>
    <col min="11" max="11" width="9" style="3" customWidth="1"/>
    <col min="12" max="12" width="34.125" style="3" customWidth="1"/>
    <col min="13" max="13" width="9" style="3" customWidth="1"/>
    <col min="14" max="16384" width="9" style="3" hidden="1"/>
  </cols>
  <sheetData>
    <row r="1" spans="2:12" x14ac:dyDescent="0.2"/>
    <row r="2" spans="2:12" ht="21" thickBot="1" x14ac:dyDescent="0.35">
      <c r="B2" s="169" t="s">
        <v>59</v>
      </c>
      <c r="C2" s="169"/>
      <c r="D2" s="169"/>
      <c r="E2" s="169"/>
      <c r="F2" s="169"/>
      <c r="G2" s="169"/>
      <c r="H2" s="169"/>
      <c r="I2" s="169"/>
      <c r="J2" s="169"/>
      <c r="K2" s="169"/>
      <c r="L2" s="169"/>
    </row>
    <row r="3" spans="2:12" ht="13.5" thickTop="1" x14ac:dyDescent="0.2">
      <c r="B3" s="148" t="str">
        <f>Tooltype</f>
        <v>Freshwater calculator tool</v>
      </c>
    </row>
    <row r="4" spans="2:12" x14ac:dyDescent="0.2"/>
    <row r="5" spans="2:12" ht="21" thickBot="1" x14ac:dyDescent="0.35">
      <c r="B5" s="151" t="s">
        <v>11</v>
      </c>
      <c r="G5" s="169" t="s">
        <v>67</v>
      </c>
      <c r="H5" s="169"/>
    </row>
    <row r="6" spans="2:12" ht="15" customHeight="1" thickTop="1" x14ac:dyDescent="0.2">
      <c r="B6" s="153" t="str">
        <f>P_Compound_Name</f>
        <v>Pyrithione</v>
      </c>
      <c r="C6"/>
      <c r="F6" s="52"/>
    </row>
    <row r="7" spans="2:12" x14ac:dyDescent="0.2">
      <c r="F7" s="52"/>
      <c r="G7" s="144" t="s">
        <v>67</v>
      </c>
      <c r="H7" s="94">
        <v>0.9</v>
      </c>
      <c r="I7" s="143" t="s">
        <v>234</v>
      </c>
    </row>
    <row r="8" spans="2:12" ht="12.75" customHeight="1" x14ac:dyDescent="0.2">
      <c r="F8" s="52"/>
    </row>
    <row r="9" spans="2:12" ht="21" thickBot="1" x14ac:dyDescent="0.35">
      <c r="B9" s="169" t="s">
        <v>58</v>
      </c>
      <c r="C9" s="169"/>
      <c r="D9" s="169"/>
      <c r="E9" s="111"/>
      <c r="F9" s="52"/>
      <c r="G9" s="38" t="s">
        <v>51</v>
      </c>
    </row>
    <row r="10" spans="2:12" ht="12.75" customHeight="1" thickTop="1" thickBot="1" x14ac:dyDescent="0.25">
      <c r="B10" s="52"/>
      <c r="C10" s="52"/>
      <c r="D10" s="52"/>
      <c r="E10" s="52"/>
      <c r="F10" s="52"/>
    </row>
    <row r="11" spans="2:12" ht="26.25" customHeight="1" thickBot="1" x14ac:dyDescent="0.25">
      <c r="B11" s="52"/>
      <c r="C11" s="152" t="s">
        <v>71</v>
      </c>
      <c r="D11" s="152" t="s">
        <v>72</v>
      </c>
      <c r="E11" s="52"/>
      <c r="G11" s="142" t="s">
        <v>65</v>
      </c>
      <c r="H11" s="95"/>
      <c r="I11" s="39" t="s">
        <v>166</v>
      </c>
      <c r="J11" s="143" t="s">
        <v>66</v>
      </c>
    </row>
    <row r="12" spans="2:12" x14ac:dyDescent="0.2">
      <c r="B12" s="144" t="s">
        <v>3</v>
      </c>
      <c r="C12" s="94">
        <v>1.7600000000000001E-2</v>
      </c>
      <c r="D12" s="94">
        <v>1.7600000000000001E-2</v>
      </c>
      <c r="E12" s="145" t="s">
        <v>169</v>
      </c>
    </row>
    <row r="13" spans="2:12" x14ac:dyDescent="0.2">
      <c r="B13" s="144" t="s">
        <v>4</v>
      </c>
      <c r="C13" s="94">
        <v>8.5000000000000006E-3</v>
      </c>
      <c r="D13" s="94">
        <v>8.5000000000000006E-3</v>
      </c>
      <c r="E13" s="145" t="s">
        <v>170</v>
      </c>
    </row>
    <row r="14" spans="2:12" ht="12.75" customHeight="1" x14ac:dyDescent="0.2"/>
    <row r="15" spans="2:12" ht="21" thickBot="1" x14ac:dyDescent="0.35">
      <c r="B15" s="169" t="s">
        <v>56</v>
      </c>
      <c r="C15" s="169"/>
      <c r="D15" s="169"/>
      <c r="E15" s="118"/>
      <c r="G15" s="111" t="s">
        <v>22</v>
      </c>
      <c r="H15" s="111"/>
      <c r="I15" s="111"/>
      <c r="J15" s="111"/>
      <c r="K15" s="111"/>
      <c r="L15" s="111"/>
    </row>
    <row r="16" spans="2:12" ht="14.25" thickTop="1" thickBot="1" x14ac:dyDescent="0.25">
      <c r="B16" s="46"/>
    </row>
    <row r="17" spans="2:12" ht="18" thickBot="1" x14ac:dyDescent="0.35">
      <c r="B17" s="173" t="s">
        <v>165</v>
      </c>
      <c r="C17" s="173"/>
      <c r="D17" s="173"/>
      <c r="E17" s="120"/>
      <c r="G17" s="42" t="s">
        <v>16</v>
      </c>
      <c r="H17" s="43"/>
      <c r="I17" s="43"/>
      <c r="J17" s="43"/>
      <c r="K17" s="43"/>
      <c r="L17" s="44"/>
    </row>
    <row r="18" spans="2:12" ht="13.5" thickTop="1" x14ac:dyDescent="0.2">
      <c r="B18" s="46"/>
      <c r="G18" s="21"/>
      <c r="H18" s="18"/>
      <c r="I18" s="18"/>
      <c r="J18" s="18"/>
      <c r="K18" s="18"/>
      <c r="L18" s="22"/>
    </row>
    <row r="19" spans="2:12" ht="25.5" x14ac:dyDescent="0.2">
      <c r="B19" s="144" t="s">
        <v>57</v>
      </c>
      <c r="C19" s="94">
        <v>0</v>
      </c>
      <c r="D19" s="119" t="s">
        <v>169</v>
      </c>
      <c r="E19" s="50"/>
      <c r="G19" s="146" t="s">
        <v>17</v>
      </c>
      <c r="H19" s="13" t="s">
        <v>18</v>
      </c>
      <c r="I19" s="13" t="s">
        <v>19</v>
      </c>
      <c r="J19" s="13" t="s">
        <v>20</v>
      </c>
      <c r="K19" s="13" t="s">
        <v>23</v>
      </c>
      <c r="L19" s="14" t="s">
        <v>21</v>
      </c>
    </row>
    <row r="20" spans="2:12" x14ac:dyDescent="0.2">
      <c r="B20" s="144" t="s">
        <v>4</v>
      </c>
      <c r="C20" s="94">
        <v>0</v>
      </c>
      <c r="D20" s="119" t="s">
        <v>170</v>
      </c>
      <c r="E20" s="50"/>
      <c r="G20" s="21"/>
      <c r="H20" s="18"/>
      <c r="I20" s="18"/>
      <c r="J20" s="18"/>
      <c r="K20" s="18"/>
      <c r="L20" s="22"/>
    </row>
    <row r="21" spans="2:12" ht="25.5" x14ac:dyDescent="0.2">
      <c r="B21" s="91"/>
      <c r="C21" s="91"/>
      <c r="D21" s="91"/>
      <c r="E21" s="91"/>
      <c r="G21" s="32" t="s">
        <v>24</v>
      </c>
      <c r="H21" s="26" t="s">
        <v>25</v>
      </c>
      <c r="I21" s="41"/>
      <c r="J21" s="28" t="s">
        <v>45</v>
      </c>
      <c r="K21" s="23" t="s">
        <v>47</v>
      </c>
      <c r="L21" s="16"/>
    </row>
    <row r="22" spans="2:12" x14ac:dyDescent="0.2">
      <c r="B22" s="91"/>
      <c r="C22" s="91"/>
      <c r="D22" s="91"/>
      <c r="E22" s="91"/>
      <c r="G22" s="32" t="s">
        <v>28</v>
      </c>
      <c r="H22" s="26" t="s">
        <v>26</v>
      </c>
      <c r="I22" s="41"/>
      <c r="J22" s="28" t="s">
        <v>2</v>
      </c>
      <c r="K22" s="23" t="s">
        <v>48</v>
      </c>
      <c r="L22" s="16"/>
    </row>
    <row r="23" spans="2:12" ht="29.25" customHeight="1" x14ac:dyDescent="0.2">
      <c r="B23" s="91"/>
      <c r="C23" s="91"/>
      <c r="D23" s="91"/>
      <c r="E23" s="91"/>
      <c r="G23" s="32" t="s">
        <v>29</v>
      </c>
      <c r="H23" s="26" t="s">
        <v>27</v>
      </c>
      <c r="I23" s="41"/>
      <c r="J23" s="28" t="s">
        <v>30</v>
      </c>
      <c r="K23" s="23" t="s">
        <v>48</v>
      </c>
      <c r="L23" s="16"/>
    </row>
    <row r="24" spans="2:12" ht="15" x14ac:dyDescent="0.2">
      <c r="B24" s="91"/>
      <c r="C24" s="91"/>
      <c r="D24" s="91"/>
      <c r="E24" s="91"/>
      <c r="G24" s="32" t="s">
        <v>31</v>
      </c>
      <c r="H24" s="27" t="s">
        <v>32</v>
      </c>
      <c r="I24" s="41"/>
      <c r="J24" s="28" t="s">
        <v>168</v>
      </c>
      <c r="K24" s="23" t="s">
        <v>48</v>
      </c>
      <c r="L24" s="16"/>
    </row>
    <row r="25" spans="2:12" x14ac:dyDescent="0.2">
      <c r="B25" s="91"/>
      <c r="C25" s="91"/>
      <c r="D25" s="91"/>
      <c r="E25" s="91"/>
      <c r="G25" s="32" t="s">
        <v>39</v>
      </c>
      <c r="H25" s="26" t="s">
        <v>33</v>
      </c>
      <c r="I25" s="41"/>
      <c r="J25" s="28" t="s">
        <v>167</v>
      </c>
      <c r="K25" s="23" t="s">
        <v>48</v>
      </c>
      <c r="L25" s="16"/>
    </row>
    <row r="26" spans="2:12" ht="29.25" customHeight="1" x14ac:dyDescent="0.2">
      <c r="B26" s="91"/>
      <c r="C26" s="91"/>
      <c r="D26" s="91"/>
      <c r="E26" s="91"/>
      <c r="G26" s="32" t="s">
        <v>184</v>
      </c>
      <c r="H26" s="26" t="s">
        <v>34</v>
      </c>
      <c r="I26" s="41"/>
      <c r="J26" s="28" t="s">
        <v>42</v>
      </c>
      <c r="K26" s="23" t="s">
        <v>48</v>
      </c>
      <c r="L26" s="16"/>
    </row>
    <row r="27" spans="2:12" x14ac:dyDescent="0.2">
      <c r="B27" s="91"/>
      <c r="C27" s="91"/>
      <c r="D27" s="91"/>
      <c r="E27" s="91"/>
      <c r="G27" s="32" t="s">
        <v>40</v>
      </c>
      <c r="H27" s="26" t="s">
        <v>35</v>
      </c>
      <c r="I27" s="41"/>
      <c r="J27" s="28" t="s">
        <v>41</v>
      </c>
      <c r="K27" s="23" t="s">
        <v>48</v>
      </c>
      <c r="L27" s="16"/>
    </row>
    <row r="28" spans="2:12" ht="15.75" thickBot="1" x14ac:dyDescent="0.25">
      <c r="B28" s="91"/>
      <c r="C28" s="91"/>
      <c r="D28" s="91"/>
      <c r="E28" s="91"/>
      <c r="G28" s="170" t="s">
        <v>36</v>
      </c>
      <c r="H28" s="171"/>
      <c r="I28" s="171"/>
      <c r="J28" s="171"/>
      <c r="K28" s="171"/>
      <c r="L28" s="172"/>
    </row>
    <row r="29" spans="2:12" ht="54" customHeight="1" thickTop="1" thickBot="1" x14ac:dyDescent="0.3">
      <c r="B29" s="91"/>
      <c r="C29" s="91"/>
      <c r="D29" s="91"/>
      <c r="E29" s="91"/>
      <c r="G29" s="32" t="s">
        <v>43</v>
      </c>
      <c r="H29" s="25" t="s">
        <v>37</v>
      </c>
      <c r="I29" s="34" t="e">
        <f>(P_La*P_a*P_Wa*P_ƿ*P_DFT)/P_VS</f>
        <v>#DIV/0!</v>
      </c>
      <c r="J29" s="28" t="s">
        <v>171</v>
      </c>
      <c r="K29" s="23" t="s">
        <v>46</v>
      </c>
      <c r="L29" s="16"/>
    </row>
    <row r="30" spans="2:12" ht="57.75" customHeight="1" thickTop="1" thickBot="1" x14ac:dyDescent="0.25">
      <c r="B30" s="91"/>
      <c r="C30" s="91"/>
      <c r="D30" s="91"/>
      <c r="E30" s="91"/>
      <c r="G30" s="31" t="s">
        <v>44</v>
      </c>
      <c r="H30" s="30" t="s">
        <v>38</v>
      </c>
      <c r="I30" s="35" t="e">
        <f>0.0329*(P_Mrel/P_t)</f>
        <v>#DIV/0!</v>
      </c>
      <c r="J30" s="29" t="s">
        <v>166</v>
      </c>
      <c r="K30" s="33" t="s">
        <v>46</v>
      </c>
      <c r="L30" s="24"/>
    </row>
    <row r="31" spans="2:12" x14ac:dyDescent="0.2">
      <c r="G31" s="19"/>
      <c r="H31" s="20"/>
    </row>
    <row r="32" spans="2:12" x14ac:dyDescent="0.2">
      <c r="G32" s="19"/>
      <c r="H32" s="20"/>
    </row>
    <row r="33" spans="2:7" ht="12.75" hidden="1" customHeight="1" x14ac:dyDescent="0.2"/>
    <row r="34" spans="2:7" ht="12.75" hidden="1" customHeight="1" x14ac:dyDescent="0.2"/>
    <row r="35" spans="2:7" ht="12.75" hidden="1" customHeight="1" x14ac:dyDescent="0.2"/>
    <row r="36" spans="2:7" ht="12.75" hidden="1" customHeight="1" x14ac:dyDescent="0.2"/>
    <row r="37" spans="2:7" ht="55.5" hidden="1" customHeight="1" x14ac:dyDescent="0.2"/>
    <row r="38" spans="2:7" ht="95.25" hidden="1" customHeight="1" x14ac:dyDescent="0.2"/>
    <row r="39" spans="2:7" ht="12.75" hidden="1" customHeight="1" x14ac:dyDescent="0.2"/>
    <row r="40" spans="2:7" ht="12.75" hidden="1" customHeight="1" x14ac:dyDescent="0.2">
      <c r="B40" s="19"/>
      <c r="C40" s="20"/>
    </row>
    <row r="41" spans="2:7" ht="12.75" hidden="1" customHeight="1" x14ac:dyDescent="0.2">
      <c r="B41" s="19"/>
      <c r="C41" s="20"/>
      <c r="E41" s="46"/>
      <c r="G41" s="46"/>
    </row>
    <row r="42" spans="2:7" ht="12.75" hidden="1" customHeight="1" x14ac:dyDescent="0.2">
      <c r="B42" s="46"/>
      <c r="C42" s="46"/>
      <c r="D42" s="46"/>
      <c r="E42" s="46"/>
      <c r="G42" s="46"/>
    </row>
    <row r="43" spans="2:7" ht="41.25" hidden="1" customHeight="1" x14ac:dyDescent="0.2">
      <c r="B43" s="46"/>
      <c r="C43" s="46"/>
      <c r="D43" s="46"/>
      <c r="F43" s="46"/>
      <c r="G43" s="46"/>
    </row>
    <row r="44" spans="2:7" ht="12.75" hidden="1" customHeight="1" x14ac:dyDescent="0.2">
      <c r="F44" s="46"/>
      <c r="G44" s="46"/>
    </row>
    <row r="45" spans="2:7" ht="12.75" hidden="1" customHeight="1" x14ac:dyDescent="0.2">
      <c r="F45" s="46"/>
      <c r="G45" s="46"/>
    </row>
    <row r="46" spans="2:7" ht="12.75" hidden="1" customHeight="1" x14ac:dyDescent="0.2">
      <c r="E46" s="46"/>
      <c r="F46" s="46"/>
      <c r="G46" s="46"/>
    </row>
    <row r="47" spans="2:7" ht="12.75" hidden="1" customHeight="1" x14ac:dyDescent="0.2">
      <c r="B47" s="46"/>
      <c r="C47" s="46"/>
      <c r="D47" s="46"/>
      <c r="E47" s="46"/>
      <c r="F47" s="46"/>
      <c r="G47" s="46"/>
    </row>
    <row r="48" spans="2:7" ht="12.75" hidden="1" customHeight="1" x14ac:dyDescent="0.2">
      <c r="B48" s="46"/>
      <c r="C48" s="46"/>
      <c r="D48" s="46"/>
      <c r="E48" s="46"/>
      <c r="F48" s="46"/>
      <c r="G48" s="46"/>
    </row>
    <row r="49" spans="2:7" ht="12.75" hidden="1" customHeight="1" x14ac:dyDescent="0.2">
      <c r="B49" s="46"/>
      <c r="C49" s="46"/>
      <c r="D49" s="46"/>
      <c r="E49" s="46"/>
      <c r="F49" s="46"/>
      <c r="G49" s="46"/>
    </row>
    <row r="50" spans="2:7" ht="12.75" hidden="1" customHeight="1" x14ac:dyDescent="0.2">
      <c r="B50" s="46"/>
      <c r="C50" s="46"/>
      <c r="D50" s="46"/>
      <c r="E50" s="46"/>
      <c r="F50" s="46"/>
      <c r="G50" s="46"/>
    </row>
    <row r="51" spans="2:7" ht="12.75" hidden="1" customHeight="1" x14ac:dyDescent="0.2">
      <c r="B51" s="46"/>
      <c r="C51" s="46"/>
      <c r="D51" s="46"/>
      <c r="E51" s="46"/>
      <c r="F51" s="46"/>
      <c r="G51" s="46"/>
    </row>
    <row r="52" spans="2:7" ht="12.75" hidden="1" customHeight="1" x14ac:dyDescent="0.2">
      <c r="B52" s="46"/>
      <c r="C52" s="46"/>
      <c r="D52" s="46"/>
      <c r="E52" s="46"/>
      <c r="F52" s="46"/>
      <c r="G52" s="46"/>
    </row>
    <row r="53" spans="2:7" ht="12.75" hidden="1" customHeight="1" x14ac:dyDescent="0.2">
      <c r="B53" s="46"/>
      <c r="C53" s="46"/>
      <c r="D53" s="46"/>
      <c r="E53" s="46"/>
      <c r="F53" s="46"/>
      <c r="G53" s="46"/>
    </row>
    <row r="54" spans="2:7" ht="12.75" hidden="1" customHeight="1" x14ac:dyDescent="0.2">
      <c r="B54" s="46"/>
      <c r="C54" s="46"/>
      <c r="D54" s="46"/>
      <c r="E54" s="46"/>
      <c r="F54" s="46"/>
      <c r="G54" s="46"/>
    </row>
    <row r="55" spans="2:7" ht="12.75" hidden="1" customHeight="1" x14ac:dyDescent="0.2">
      <c r="B55" s="46"/>
      <c r="C55" s="46"/>
      <c r="D55" s="46"/>
      <c r="E55" s="46"/>
      <c r="F55" s="46"/>
      <c r="G55" s="46"/>
    </row>
    <row r="56" spans="2:7" ht="12.75" hidden="1" customHeight="1" x14ac:dyDescent="0.2">
      <c r="B56" s="46"/>
      <c r="C56" s="46"/>
      <c r="D56" s="46"/>
      <c r="E56" s="46"/>
      <c r="F56" s="46"/>
      <c r="G56" s="46"/>
    </row>
    <row r="57" spans="2:7" ht="12.75" hidden="1" customHeight="1" x14ac:dyDescent="0.2">
      <c r="B57" s="46"/>
      <c r="C57" s="46"/>
      <c r="D57" s="46"/>
      <c r="E57" s="46"/>
      <c r="F57" s="46"/>
      <c r="G57" s="46"/>
    </row>
    <row r="58" spans="2:7" ht="12.75" hidden="1" customHeight="1" x14ac:dyDescent="0.2">
      <c r="B58" s="46"/>
      <c r="C58" s="46"/>
      <c r="D58" s="46"/>
      <c r="E58" s="46"/>
      <c r="F58" s="46"/>
      <c r="G58" s="46"/>
    </row>
    <row r="59" spans="2:7" ht="12.75" hidden="1" customHeight="1" x14ac:dyDescent="0.2">
      <c r="B59" s="46"/>
      <c r="C59" s="46"/>
      <c r="D59" s="46"/>
      <c r="E59" s="46"/>
      <c r="F59" s="46"/>
      <c r="G59" s="46"/>
    </row>
    <row r="60" spans="2:7" ht="12.75" hidden="1" customHeight="1" x14ac:dyDescent="0.2">
      <c r="B60" s="46"/>
      <c r="C60" s="46"/>
      <c r="D60" s="46"/>
      <c r="E60" s="46"/>
      <c r="F60" s="46"/>
      <c r="G60" s="46"/>
    </row>
    <row r="61" spans="2:7" ht="12.75" hidden="1" customHeight="1" x14ac:dyDescent="0.2">
      <c r="B61" s="46"/>
      <c r="C61" s="46"/>
      <c r="D61" s="46"/>
      <c r="E61" s="46"/>
      <c r="F61" s="46"/>
      <c r="G61" s="46"/>
    </row>
    <row r="62" spans="2:7" ht="12.75" hidden="1" customHeight="1" x14ac:dyDescent="0.2">
      <c r="B62" s="46"/>
      <c r="C62" s="46"/>
      <c r="D62" s="46"/>
      <c r="E62" s="46"/>
      <c r="F62" s="46"/>
      <c r="G62" s="46"/>
    </row>
    <row r="63" spans="2:7" ht="12.75" hidden="1" customHeight="1" x14ac:dyDescent="0.2">
      <c r="B63" s="46"/>
      <c r="C63" s="46"/>
      <c r="D63" s="46"/>
      <c r="E63" s="46"/>
      <c r="F63" s="46"/>
      <c r="G63" s="46"/>
    </row>
    <row r="64" spans="2:7" ht="12.75" hidden="1" customHeight="1" x14ac:dyDescent="0.2">
      <c r="B64" s="46"/>
      <c r="C64" s="46"/>
      <c r="D64" s="46"/>
      <c r="E64" s="46"/>
      <c r="F64" s="46"/>
      <c r="G64" s="46"/>
    </row>
    <row r="65" spans="2:7" ht="12.75" hidden="1" customHeight="1" x14ac:dyDescent="0.2">
      <c r="B65" s="46"/>
      <c r="C65" s="46"/>
      <c r="D65" s="46"/>
      <c r="E65" s="46"/>
      <c r="F65" s="46"/>
      <c r="G65" s="46"/>
    </row>
    <row r="66" spans="2:7" ht="12.75" hidden="1" customHeight="1" x14ac:dyDescent="0.2">
      <c r="B66" s="46"/>
      <c r="C66" s="46"/>
      <c r="D66" s="46"/>
      <c r="E66" s="46"/>
      <c r="F66" s="46"/>
      <c r="G66" s="46"/>
    </row>
    <row r="67" spans="2:7" ht="12.75" hidden="1" customHeight="1" x14ac:dyDescent="0.2">
      <c r="B67" s="46"/>
      <c r="C67" s="46"/>
      <c r="D67" s="46"/>
      <c r="E67" s="46"/>
      <c r="F67" s="46"/>
      <c r="G67" s="46"/>
    </row>
    <row r="68" spans="2:7" ht="12.75" hidden="1" customHeight="1" x14ac:dyDescent="0.2">
      <c r="B68" s="46"/>
      <c r="C68" s="46"/>
      <c r="D68" s="46"/>
      <c r="E68" s="46"/>
      <c r="F68" s="46"/>
      <c r="G68" s="46"/>
    </row>
    <row r="69" spans="2:7" ht="12.75" hidden="1" customHeight="1" x14ac:dyDescent="0.2">
      <c r="B69" s="46"/>
      <c r="C69" s="46"/>
      <c r="D69" s="46"/>
      <c r="F69" s="46"/>
    </row>
    <row r="70" spans="2:7" ht="12.75" hidden="1" customHeight="1" x14ac:dyDescent="0.2">
      <c r="F70" s="46"/>
    </row>
    <row r="71" spans="2:7" ht="12.75" hidden="1" customHeight="1" x14ac:dyDescent="0.2"/>
    <row r="72" spans="2:7" x14ac:dyDescent="0.2"/>
    <row r="73" spans="2:7" x14ac:dyDescent="0.2"/>
    <row r="74" spans="2:7" x14ac:dyDescent="0.2"/>
    <row r="75" spans="2:7" x14ac:dyDescent="0.2"/>
    <row r="76" spans="2:7" x14ac:dyDescent="0.2"/>
    <row r="77" spans="2:7" x14ac:dyDescent="0.2"/>
    <row r="78" spans="2:7" x14ac:dyDescent="0.2"/>
    <row r="79" spans="2:7" ht="12.75" customHeight="1" x14ac:dyDescent="0.2"/>
    <row r="80" spans="2:7" ht="12.75" customHeight="1" x14ac:dyDescent="0.2"/>
    <row r="81" ht="12.75" customHeight="1" x14ac:dyDescent="0.2"/>
    <row r="82" ht="12.75" customHeight="1" x14ac:dyDescent="0.2"/>
  </sheetData>
  <mergeCells count="6">
    <mergeCell ref="G28:L28"/>
    <mergeCell ref="B17:D17"/>
    <mergeCell ref="B15:D15"/>
    <mergeCell ref="B2:L2"/>
    <mergeCell ref="B9:D9"/>
    <mergeCell ref="G5:H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Z402"/>
  <sheetViews>
    <sheetView zoomScale="85" zoomScaleNormal="85" workbookViewId="0"/>
  </sheetViews>
  <sheetFormatPr defaultColWidth="0" defaultRowHeight="12.75" zeroHeight="1" x14ac:dyDescent="0.2"/>
  <cols>
    <col min="1" max="2" width="3.125" style="3" customWidth="1"/>
    <col min="3" max="3" width="23.75" customWidth="1"/>
    <col min="4" max="4" width="3.625" customWidth="1"/>
    <col min="5" max="5" width="4.625" customWidth="1"/>
    <col min="6" max="10" width="16.625" customWidth="1"/>
    <col min="11" max="11" width="16.625" style="3" customWidth="1"/>
    <col min="12" max="13" width="16.625" customWidth="1"/>
    <col min="14" max="14" width="3.125" customWidth="1"/>
    <col min="15" max="15" width="3" customWidth="1"/>
    <col min="16" max="16" width="12.75" hidden="1" customWidth="1"/>
    <col min="17" max="17" width="12.25" hidden="1" customWidth="1"/>
    <col min="18" max="18" width="12.5" hidden="1" customWidth="1"/>
    <col min="19" max="19" width="12.25" hidden="1" customWidth="1"/>
    <col min="20" max="26" width="0" hidden="1" customWidth="1"/>
    <col min="27" max="16384" width="9" hidden="1"/>
  </cols>
  <sheetData>
    <row r="1" spans="1:15" x14ac:dyDescent="0.2">
      <c r="A1" s="64"/>
      <c r="B1" s="64"/>
      <c r="C1" s="64"/>
      <c r="D1" s="64"/>
      <c r="E1" s="64"/>
      <c r="F1" s="64"/>
      <c r="G1" s="64"/>
      <c r="H1" s="64"/>
      <c r="I1" s="64"/>
      <c r="J1" s="64"/>
      <c r="K1" s="64"/>
      <c r="L1" s="64"/>
      <c r="M1" s="64"/>
      <c r="N1" s="64"/>
      <c r="O1" s="64"/>
    </row>
    <row r="2" spans="1:15" x14ac:dyDescent="0.2">
      <c r="A2" s="64"/>
      <c r="L2" s="3"/>
      <c r="O2" s="64"/>
    </row>
    <row r="3" spans="1:15" x14ac:dyDescent="0.2">
      <c r="A3" s="64"/>
      <c r="C3" s="58" t="s">
        <v>78</v>
      </c>
      <c r="D3" s="58"/>
      <c r="E3" s="58"/>
      <c r="F3" s="58"/>
      <c r="G3" s="58"/>
      <c r="H3" s="58"/>
      <c r="I3" s="58"/>
      <c r="J3" s="58"/>
      <c r="K3" s="66"/>
      <c r="L3" s="66"/>
      <c r="M3" s="90">
        <f ca="1">TODAY()</f>
        <v>43021</v>
      </c>
      <c r="O3" s="64"/>
    </row>
    <row r="4" spans="1:15" x14ac:dyDescent="0.2">
      <c r="A4" s="64"/>
      <c r="C4" s="148" t="str">
        <f>Tooltype</f>
        <v>Freshwater calculator tool</v>
      </c>
      <c r="L4" s="3"/>
      <c r="O4" s="64"/>
    </row>
    <row r="5" spans="1:15" x14ac:dyDescent="0.2">
      <c r="A5" s="64"/>
      <c r="L5" s="3"/>
      <c r="O5" s="64"/>
    </row>
    <row r="6" spans="1:15" x14ac:dyDescent="0.2">
      <c r="A6" s="64"/>
      <c r="C6" s="59" t="s">
        <v>79</v>
      </c>
      <c r="D6" t="str">
        <f>Substance</f>
        <v>Copper and pyrithione</v>
      </c>
      <c r="L6" s="3"/>
      <c r="O6" s="64"/>
    </row>
    <row r="7" spans="1:15" x14ac:dyDescent="0.2">
      <c r="A7" s="64"/>
      <c r="C7" s="59" t="s">
        <v>80</v>
      </c>
      <c r="D7" t="str">
        <f>Version</f>
        <v>Version Final 1.1</v>
      </c>
      <c r="L7" s="3"/>
      <c r="O7" s="64"/>
    </row>
    <row r="8" spans="1:15" x14ac:dyDescent="0.2">
      <c r="A8" s="64"/>
      <c r="L8" s="3"/>
      <c r="O8" s="64"/>
    </row>
    <row r="9" spans="1:15" x14ac:dyDescent="0.2">
      <c r="A9" s="64"/>
      <c r="C9" s="176" t="s">
        <v>16</v>
      </c>
      <c r="D9" s="176"/>
      <c r="E9" s="176"/>
      <c r="F9" s="176"/>
      <c r="G9" s="176"/>
      <c r="L9" s="3"/>
      <c r="O9" s="64"/>
    </row>
    <row r="10" spans="1:15" s="63" customFormat="1" x14ac:dyDescent="0.2">
      <c r="A10" s="64"/>
      <c r="B10" s="3"/>
      <c r="C10" s="60"/>
      <c r="K10" s="3"/>
      <c r="L10" s="3"/>
      <c r="O10" s="64"/>
    </row>
    <row r="11" spans="1:15" x14ac:dyDescent="0.2">
      <c r="A11" s="64"/>
      <c r="C11" s="175" t="s">
        <v>90</v>
      </c>
      <c r="D11" s="175"/>
      <c r="E11" s="175"/>
      <c r="F11" s="175"/>
      <c r="G11" s="175"/>
      <c r="L11" s="3"/>
      <c r="O11" s="64"/>
    </row>
    <row r="12" spans="1:15" s="91" customFormat="1" x14ac:dyDescent="0.2">
      <c r="A12" s="64"/>
      <c r="B12" s="3"/>
      <c r="C12" s="112"/>
      <c r="D12" s="112"/>
      <c r="E12" s="112"/>
      <c r="G12" s="139" t="str">
        <f>C_Compound_Name</f>
        <v>Copper</v>
      </c>
      <c r="H12" s="139" t="str">
        <f>P_Compound_Name</f>
        <v>Pyrithione</v>
      </c>
      <c r="K12" s="3"/>
      <c r="L12" s="3"/>
      <c r="O12" s="64"/>
    </row>
    <row r="13" spans="1:15" s="63" customFormat="1" x14ac:dyDescent="0.2">
      <c r="A13" s="64"/>
      <c r="B13" s="3"/>
      <c r="C13" s="63" t="s">
        <v>67</v>
      </c>
      <c r="G13" s="63">
        <f>Application_Factor</f>
        <v>0.9</v>
      </c>
      <c r="H13" s="91">
        <f>Application_Factor</f>
        <v>0.9</v>
      </c>
      <c r="K13" s="3"/>
      <c r="L13" s="3"/>
      <c r="O13" s="64"/>
    </row>
    <row r="14" spans="1:15" s="63" customFormat="1" x14ac:dyDescent="0.2">
      <c r="A14" s="64"/>
      <c r="B14" s="3"/>
      <c r="C14" s="63" t="s">
        <v>89</v>
      </c>
      <c r="G14" s="154" t="e">
        <f>IF(ISBLANK(C_Average_biocide_release_over_the_lifetime_of_the_paint_M),C_User_Input!I30,C_Average_biocide_release_over_the_lifetime_of_the_paint_M)</f>
        <v>#DIV/0!</v>
      </c>
      <c r="H14" s="154" t="e">
        <f>IF(ISBLANK(P_Average_biocide_release_over_the_lifetime_of_the_paint_M),P_User_Input!I30,P_Average_biocide_release_over_the_lifetime_of_the_paint_M)</f>
        <v>#DIV/0!</v>
      </c>
      <c r="K14" s="3"/>
      <c r="L14" s="3"/>
      <c r="O14" s="64"/>
    </row>
    <row r="15" spans="1:15" s="63" customFormat="1" x14ac:dyDescent="0.2">
      <c r="A15" s="64"/>
      <c r="B15" s="3"/>
      <c r="K15" s="3"/>
      <c r="L15" s="3"/>
      <c r="O15" s="64"/>
    </row>
    <row r="16" spans="1:15" s="63" customFormat="1" x14ac:dyDescent="0.2">
      <c r="A16" s="64"/>
      <c r="B16" s="3"/>
      <c r="C16" s="175" t="s">
        <v>58</v>
      </c>
      <c r="D16" s="175"/>
      <c r="E16" s="175"/>
      <c r="F16" s="175"/>
      <c r="G16" s="175"/>
      <c r="K16" s="3"/>
      <c r="L16" s="3"/>
      <c r="O16" s="64"/>
    </row>
    <row r="17" spans="1:17" s="91" customFormat="1" x14ac:dyDescent="0.2">
      <c r="A17" s="64"/>
      <c r="B17" s="3"/>
      <c r="C17" s="112"/>
      <c r="D17" s="112"/>
      <c r="E17" s="112"/>
      <c r="G17" s="139" t="str">
        <f>C_Compound_Name</f>
        <v>Copper</v>
      </c>
      <c r="H17" s="139" t="str">
        <f>P_Compound_Name</f>
        <v>Pyrithione</v>
      </c>
      <c r="K17" s="3"/>
      <c r="L17" s="3"/>
      <c r="O17" s="64"/>
    </row>
    <row r="18" spans="1:17" s="63" customFormat="1" x14ac:dyDescent="0.2">
      <c r="A18" s="64"/>
      <c r="B18" s="3"/>
      <c r="C18" s="177" t="s">
        <v>181</v>
      </c>
      <c r="D18" s="177"/>
      <c r="E18" s="177"/>
      <c r="F18" s="177"/>
      <c r="G18" s="155">
        <f>C_PNEC_Aquatic_Inside</f>
        <v>7.8</v>
      </c>
      <c r="H18" s="155">
        <f>P_PNEC_Aquatic_Inside</f>
        <v>1.7600000000000001E-2</v>
      </c>
      <c r="K18" s="3"/>
      <c r="L18" s="3"/>
      <c r="O18" s="64"/>
    </row>
    <row r="19" spans="1:17" s="63" customFormat="1" x14ac:dyDescent="0.2">
      <c r="A19" s="64"/>
      <c r="B19" s="3"/>
      <c r="C19" s="177" t="s">
        <v>180</v>
      </c>
      <c r="D19" s="177"/>
      <c r="E19" s="177"/>
      <c r="F19" s="177"/>
      <c r="G19" s="155">
        <f>C_PNEC_Sediment_Inside</f>
        <v>87</v>
      </c>
      <c r="H19" s="155">
        <f>P_PNEC_Sediment_Inside</f>
        <v>8.5000000000000006E-3</v>
      </c>
      <c r="K19" s="3"/>
      <c r="L19" s="3"/>
      <c r="O19" s="64"/>
    </row>
    <row r="20" spans="1:17" s="63" customFormat="1" x14ac:dyDescent="0.2">
      <c r="A20" s="64"/>
      <c r="B20" s="3"/>
      <c r="C20" s="177" t="s">
        <v>179</v>
      </c>
      <c r="D20" s="177"/>
      <c r="E20" s="177"/>
      <c r="F20" s="177"/>
      <c r="G20" s="155">
        <f>C_PNEC_Aquatic_Surrounding</f>
        <v>7.8</v>
      </c>
      <c r="H20" s="155">
        <f>P_PNEC_Aquatic_Surrounding</f>
        <v>1.7600000000000001E-2</v>
      </c>
      <c r="K20" s="3"/>
      <c r="L20" s="3"/>
      <c r="O20" s="64"/>
    </row>
    <row r="21" spans="1:17" x14ac:dyDescent="0.2">
      <c r="A21" s="64"/>
      <c r="C21" s="177" t="s">
        <v>178</v>
      </c>
      <c r="D21" s="177"/>
      <c r="E21" s="177"/>
      <c r="F21" s="177"/>
      <c r="G21" s="155">
        <f>C_PNEC_Sediment_Surrounding</f>
        <v>87</v>
      </c>
      <c r="H21" s="155">
        <f>P_PNEC_Sediment_Surrounding</f>
        <v>8.5000000000000006E-3</v>
      </c>
      <c r="L21" s="3"/>
      <c r="O21" s="64"/>
    </row>
    <row r="22" spans="1:17" x14ac:dyDescent="0.2">
      <c r="A22" s="64"/>
      <c r="L22" s="3"/>
      <c r="O22" s="64"/>
    </row>
    <row r="23" spans="1:17" x14ac:dyDescent="0.2">
      <c r="A23" s="64"/>
      <c r="C23" s="175" t="s">
        <v>56</v>
      </c>
      <c r="D23" s="175"/>
      <c r="E23" s="175"/>
      <c r="F23" s="175"/>
      <c r="G23" s="175"/>
      <c r="L23" s="3"/>
      <c r="O23" s="64"/>
    </row>
    <row r="24" spans="1:17" s="91" customFormat="1" x14ac:dyDescent="0.2">
      <c r="A24" s="64"/>
      <c r="B24" s="3"/>
      <c r="C24" s="112" t="str">
        <f>C_Compound_Name</f>
        <v>Copper</v>
      </c>
      <c r="D24" s="112"/>
      <c r="E24" s="112"/>
      <c r="F24" s="112"/>
      <c r="G24" s="112"/>
      <c r="K24" s="3"/>
      <c r="L24" s="3"/>
      <c r="O24" s="64"/>
    </row>
    <row r="25" spans="1:17" ht="25.5" x14ac:dyDescent="0.2">
      <c r="A25" s="64"/>
      <c r="F25" s="135" t="s">
        <v>174</v>
      </c>
      <c r="G25" s="135" t="s">
        <v>175</v>
      </c>
      <c r="L25" s="3"/>
      <c r="O25" s="64"/>
    </row>
    <row r="26" spans="1:17" x14ac:dyDescent="0.2">
      <c r="A26" s="64"/>
      <c r="C26" t="s">
        <v>185</v>
      </c>
      <c r="F26" s="136">
        <f>C_Background_SW_Freshwater</f>
        <v>0</v>
      </c>
      <c r="G26" s="136">
        <f>C_Background_Sed_Freshwater</f>
        <v>0</v>
      </c>
      <c r="L26" s="3"/>
      <c r="O26" s="64"/>
    </row>
    <row r="27" spans="1:17" s="91" customFormat="1" x14ac:dyDescent="0.2">
      <c r="A27" s="64"/>
      <c r="B27" s="3"/>
      <c r="K27" s="3"/>
      <c r="L27" s="3"/>
      <c r="O27" s="78"/>
      <c r="P27" s="70"/>
      <c r="Q27" s="70"/>
    </row>
    <row r="28" spans="1:17" s="91" customFormat="1" x14ac:dyDescent="0.2">
      <c r="A28" s="64"/>
      <c r="B28" s="3"/>
      <c r="C28" s="175" t="s">
        <v>56</v>
      </c>
      <c r="D28" s="175"/>
      <c r="E28" s="175"/>
      <c r="F28" s="175"/>
      <c r="G28" s="175"/>
      <c r="K28" s="3"/>
      <c r="L28" s="3"/>
      <c r="O28" s="78"/>
      <c r="P28" s="70"/>
      <c r="Q28" s="70"/>
    </row>
    <row r="29" spans="1:17" s="91" customFormat="1" x14ac:dyDescent="0.2">
      <c r="A29" s="64"/>
      <c r="B29" s="3"/>
      <c r="C29" s="112" t="str">
        <f>P_Compound_Name</f>
        <v>Pyrithione</v>
      </c>
      <c r="D29" s="112"/>
      <c r="E29" s="112"/>
      <c r="F29" s="112"/>
      <c r="G29" s="112"/>
      <c r="K29" s="3"/>
      <c r="L29" s="3"/>
      <c r="O29" s="78"/>
      <c r="P29" s="70"/>
      <c r="Q29" s="70"/>
    </row>
    <row r="30" spans="1:17" s="91" customFormat="1" ht="25.5" x14ac:dyDescent="0.2">
      <c r="A30" s="64"/>
      <c r="B30" s="3"/>
      <c r="F30" s="135" t="s">
        <v>174</v>
      </c>
      <c r="G30" s="135" t="s">
        <v>175</v>
      </c>
      <c r="K30" s="3"/>
      <c r="L30" s="3"/>
      <c r="O30" s="78"/>
      <c r="P30" s="70"/>
      <c r="Q30" s="70"/>
    </row>
    <row r="31" spans="1:17" s="91" customFormat="1" x14ac:dyDescent="0.2">
      <c r="A31" s="64"/>
      <c r="B31" s="3"/>
      <c r="C31" s="91" t="s">
        <v>185</v>
      </c>
      <c r="F31" s="136">
        <f>P_Background_SW_Freshwater</f>
        <v>0</v>
      </c>
      <c r="G31" s="136">
        <f>P_Background_Sed_Freshwater</f>
        <v>0</v>
      </c>
      <c r="K31" s="3"/>
      <c r="L31" s="3"/>
      <c r="O31" s="78"/>
      <c r="P31" s="70"/>
      <c r="Q31" s="70"/>
    </row>
    <row r="32" spans="1:17" x14ac:dyDescent="0.2">
      <c r="A32" s="64"/>
      <c r="L32" s="3"/>
      <c r="O32" s="78"/>
      <c r="P32" s="70"/>
      <c r="Q32" s="70"/>
    </row>
    <row r="33" spans="1:26" x14ac:dyDescent="0.2">
      <c r="A33" s="64"/>
      <c r="C33" s="60" t="s">
        <v>86</v>
      </c>
      <c r="L33" s="3"/>
      <c r="O33" s="78"/>
      <c r="P33" s="70"/>
      <c r="Q33" s="70"/>
    </row>
    <row r="34" spans="1:26" x14ac:dyDescent="0.2">
      <c r="A34" s="64"/>
      <c r="O34" s="78"/>
      <c r="P34" s="70"/>
      <c r="Q34" s="70"/>
    </row>
    <row r="35" spans="1:26" ht="80.099999999999994" customHeight="1" x14ac:dyDescent="0.2">
      <c r="A35" s="64"/>
      <c r="C35" s="178" t="s">
        <v>185</v>
      </c>
      <c r="D35" s="179"/>
      <c r="E35" s="180"/>
      <c r="F35" s="137" t="s">
        <v>195</v>
      </c>
      <c r="G35" s="137" t="s">
        <v>217</v>
      </c>
      <c r="H35" s="137" t="s">
        <v>223</v>
      </c>
      <c r="I35" s="137" t="s">
        <v>218</v>
      </c>
      <c r="K35"/>
      <c r="N35" s="72"/>
      <c r="O35" s="79"/>
      <c r="P35" s="72"/>
      <c r="Q35" s="70"/>
      <c r="S35" s="70"/>
      <c r="T35" s="62"/>
      <c r="U35" s="62"/>
      <c r="V35" s="62"/>
      <c r="W35" s="62"/>
    </row>
    <row r="36" spans="1:26" x14ac:dyDescent="0.2">
      <c r="A36" s="64"/>
      <c r="C36" s="178" t="s">
        <v>85</v>
      </c>
      <c r="D36" s="179"/>
      <c r="E36" s="180"/>
      <c r="F36" s="138" t="e">
        <f>'C+P_Output_EU marinas'!F58</f>
        <v>#DIV/0!</v>
      </c>
      <c r="G36" s="138" t="e">
        <f>'C+P_Output_EU marinas'!G58</f>
        <v>#DIV/0!</v>
      </c>
      <c r="H36" s="138" t="e">
        <f>'C+P_Output_EU marinas'!H58</f>
        <v>#DIV/0!</v>
      </c>
      <c r="I36" s="138" t="e">
        <f>'C+P_Output_EU marinas'!I58</f>
        <v>#DIV/0!</v>
      </c>
      <c r="K36"/>
      <c r="N36" s="70"/>
      <c r="O36" s="78"/>
      <c r="P36" s="70"/>
      <c r="Q36" s="70"/>
      <c r="R36" s="70"/>
      <c r="S36" s="70"/>
    </row>
    <row r="37" spans="1:26" ht="12.75" customHeight="1" x14ac:dyDescent="0.2">
      <c r="A37" s="64"/>
      <c r="C37" s="178" t="s">
        <v>14</v>
      </c>
      <c r="D37" s="179"/>
      <c r="E37" s="180"/>
      <c r="F37" s="138" t="e">
        <f>'C+P_Output_EU marinas'!F59</f>
        <v>#DIV/0!</v>
      </c>
      <c r="G37" s="138" t="e">
        <f>'C+P_Output_EU marinas'!G59</f>
        <v>#DIV/0!</v>
      </c>
      <c r="H37" s="138" t="e">
        <f>'C+P_Output_EU marinas'!H59</f>
        <v>#DIV/0!</v>
      </c>
      <c r="I37" s="138" t="e">
        <f>'C+P_Output_EU marinas'!I59</f>
        <v>#DIV/0!</v>
      </c>
      <c r="K37"/>
      <c r="O37" s="64"/>
    </row>
    <row r="38" spans="1:26" x14ac:dyDescent="0.2">
      <c r="A38" s="64"/>
      <c r="C38" s="178" t="s">
        <v>15</v>
      </c>
      <c r="D38" s="179"/>
      <c r="E38" s="180"/>
      <c r="F38" s="138" t="e">
        <f>'C+P_Output_EU marinas'!F60</f>
        <v>#DIV/0!</v>
      </c>
      <c r="G38" s="138" t="e">
        <f>'C+P_Output_EU marinas'!G60</f>
        <v>#DIV/0!</v>
      </c>
      <c r="H38" s="138" t="e">
        <f>'C+P_Output_EU marinas'!H60</f>
        <v>#DIV/0!</v>
      </c>
      <c r="I38" s="138" t="e">
        <f>'C+P_Output_EU marinas'!I60</f>
        <v>#DIV/0!</v>
      </c>
      <c r="K38"/>
      <c r="O38" s="64"/>
    </row>
    <row r="39" spans="1:26" x14ac:dyDescent="0.2">
      <c r="A39" s="64"/>
      <c r="C39" s="70"/>
      <c r="D39" s="70"/>
      <c r="E39" s="70"/>
      <c r="F39" s="70"/>
      <c r="G39" s="70"/>
      <c r="H39" s="70"/>
      <c r="I39" s="70"/>
      <c r="O39" s="64"/>
    </row>
    <row r="40" spans="1:26" x14ac:dyDescent="0.2">
      <c r="A40" s="64"/>
      <c r="B40" s="64"/>
      <c r="C40" s="65"/>
      <c r="D40" s="64"/>
      <c r="E40" s="64"/>
      <c r="F40" s="64"/>
      <c r="G40" s="64"/>
      <c r="H40" s="64"/>
      <c r="I40" s="64"/>
      <c r="J40" s="64"/>
      <c r="K40" s="64"/>
      <c r="L40" s="64"/>
      <c r="M40" s="64"/>
      <c r="N40" s="64"/>
      <c r="O40" s="64"/>
      <c r="Q40" s="71"/>
      <c r="R40" s="71"/>
      <c r="S40" s="70"/>
      <c r="T40" s="70"/>
      <c r="U40" s="70"/>
      <c r="V40" s="70"/>
      <c r="W40" s="70"/>
      <c r="X40" s="70"/>
      <c r="Y40" s="15"/>
      <c r="Z40" s="3"/>
    </row>
    <row r="41" spans="1:26" x14ac:dyDescent="0.2">
      <c r="A41" s="64"/>
      <c r="C41" s="60" t="s">
        <v>87</v>
      </c>
      <c r="O41" s="64"/>
    </row>
    <row r="42" spans="1:26" x14ac:dyDescent="0.2">
      <c r="A42" s="64"/>
      <c r="B42"/>
      <c r="O42" s="64"/>
    </row>
    <row r="43" spans="1:26" s="91" customFormat="1" x14ac:dyDescent="0.2">
      <c r="A43" s="64"/>
      <c r="B43" s="3"/>
      <c r="C43" s="106"/>
      <c r="D43" s="106"/>
      <c r="E43" s="106"/>
      <c r="F43" s="107"/>
      <c r="G43" s="107"/>
      <c r="H43" s="107"/>
      <c r="I43" s="107"/>
      <c r="K43" s="3"/>
      <c r="O43" s="64"/>
    </row>
    <row r="44" spans="1:26" s="63" customFormat="1" x14ac:dyDescent="0.2">
      <c r="A44" s="64"/>
      <c r="C44" s="59" t="s">
        <v>82</v>
      </c>
      <c r="K44" s="3"/>
      <c r="O44" s="64"/>
    </row>
    <row r="45" spans="1:26" x14ac:dyDescent="0.2">
      <c r="A45" s="64"/>
      <c r="C45" t="s">
        <v>91</v>
      </c>
      <c r="O45" s="64"/>
    </row>
    <row r="46" spans="1:26" ht="105.95" customHeight="1" x14ac:dyDescent="0.2">
      <c r="A46" s="64"/>
      <c r="C46" s="61" t="s">
        <v>9</v>
      </c>
      <c r="D46" s="181" t="s">
        <v>10</v>
      </c>
      <c r="E46" s="182"/>
      <c r="F46" s="137" t="s">
        <v>195</v>
      </c>
      <c r="G46" s="137" t="s">
        <v>217</v>
      </c>
      <c r="H46" s="137" t="s">
        <v>223</v>
      </c>
      <c r="I46" s="137" t="s">
        <v>218</v>
      </c>
      <c r="O46" s="64"/>
    </row>
    <row r="47" spans="1:26" x14ac:dyDescent="0.2">
      <c r="A47" s="64"/>
      <c r="C47" s="140" t="s">
        <v>106</v>
      </c>
      <c r="D47" s="140" t="s">
        <v>107</v>
      </c>
      <c r="E47" s="140">
        <v>1</v>
      </c>
      <c r="F47" s="138" t="e">
        <f>'C+P_Output_EU marinas'!F12</f>
        <v>#DIV/0!</v>
      </c>
      <c r="G47" s="138" t="e">
        <f>'C+P_Output_EU marinas'!G12</f>
        <v>#DIV/0!</v>
      </c>
      <c r="H47" s="138" t="e">
        <f>'C+P_Output_EU marinas'!H12</f>
        <v>#DIV/0!</v>
      </c>
      <c r="I47" s="138" t="e">
        <f>'C+P_Output_EU marinas'!I12</f>
        <v>#DIV/0!</v>
      </c>
      <c r="O47" s="64"/>
    </row>
    <row r="48" spans="1:26" x14ac:dyDescent="0.2">
      <c r="A48" s="64"/>
      <c r="C48" s="140" t="s">
        <v>108</v>
      </c>
      <c r="D48" s="140" t="s">
        <v>107</v>
      </c>
      <c r="E48" s="140">
        <v>2</v>
      </c>
      <c r="F48" s="138" t="e">
        <f>'C+P_Output_EU marinas'!F13</f>
        <v>#DIV/0!</v>
      </c>
      <c r="G48" s="138" t="e">
        <f>'C+P_Output_EU marinas'!G13</f>
        <v>#DIV/0!</v>
      </c>
      <c r="H48" s="138" t="e">
        <f>'C+P_Output_EU marinas'!H13</f>
        <v>#DIV/0!</v>
      </c>
      <c r="I48" s="138" t="e">
        <f>'C+P_Output_EU marinas'!I13</f>
        <v>#DIV/0!</v>
      </c>
      <c r="O48" s="64"/>
    </row>
    <row r="49" spans="1:15" x14ac:dyDescent="0.2">
      <c r="A49" s="64"/>
      <c r="C49" s="140" t="s">
        <v>109</v>
      </c>
      <c r="D49" s="140" t="s">
        <v>107</v>
      </c>
      <c r="E49" s="140">
        <v>3</v>
      </c>
      <c r="F49" s="138" t="e">
        <f>'C+P_Output_EU marinas'!F14</f>
        <v>#DIV/0!</v>
      </c>
      <c r="G49" s="138" t="e">
        <f>'C+P_Output_EU marinas'!G14</f>
        <v>#DIV/0!</v>
      </c>
      <c r="H49" s="138" t="e">
        <f>'C+P_Output_EU marinas'!H14</f>
        <v>#DIV/0!</v>
      </c>
      <c r="I49" s="138" t="e">
        <f>'C+P_Output_EU marinas'!I14</f>
        <v>#DIV/0!</v>
      </c>
      <c r="O49" s="64"/>
    </row>
    <row r="50" spans="1:15" x14ac:dyDescent="0.2">
      <c r="A50" s="64"/>
      <c r="C50" s="140" t="s">
        <v>110</v>
      </c>
      <c r="D50" s="140" t="s">
        <v>107</v>
      </c>
      <c r="E50" s="140">
        <v>4</v>
      </c>
      <c r="F50" s="138" t="e">
        <f>'C+P_Output_EU marinas'!F15</f>
        <v>#DIV/0!</v>
      </c>
      <c r="G50" s="138" t="e">
        <f>'C+P_Output_EU marinas'!G15</f>
        <v>#DIV/0!</v>
      </c>
      <c r="H50" s="138" t="e">
        <f>'C+P_Output_EU marinas'!H15</f>
        <v>#DIV/0!</v>
      </c>
      <c r="I50" s="138" t="e">
        <f>'C+P_Output_EU marinas'!I15</f>
        <v>#DIV/0!</v>
      </c>
      <c r="O50" s="64"/>
    </row>
    <row r="51" spans="1:15" x14ac:dyDescent="0.2">
      <c r="A51" s="64"/>
      <c r="C51" s="140" t="s">
        <v>111</v>
      </c>
      <c r="D51" s="140" t="s">
        <v>107</v>
      </c>
      <c r="E51" s="140">
        <v>5</v>
      </c>
      <c r="F51" s="138" t="e">
        <f>'C+P_Output_EU marinas'!F16</f>
        <v>#DIV/0!</v>
      </c>
      <c r="G51" s="138" t="e">
        <f>'C+P_Output_EU marinas'!G16</f>
        <v>#DIV/0!</v>
      </c>
      <c r="H51" s="138" t="e">
        <f>'C+P_Output_EU marinas'!H16</f>
        <v>#DIV/0!</v>
      </c>
      <c r="I51" s="138" t="e">
        <f>'C+P_Output_EU marinas'!I16</f>
        <v>#DIV/0!</v>
      </c>
      <c r="O51" s="64"/>
    </row>
    <row r="52" spans="1:15" x14ac:dyDescent="0.2">
      <c r="A52" s="64"/>
      <c r="C52" s="140" t="s">
        <v>112</v>
      </c>
      <c r="D52" s="140" t="s">
        <v>107</v>
      </c>
      <c r="E52" s="140">
        <v>6</v>
      </c>
      <c r="F52" s="138" t="e">
        <f>'C+P_Output_EU marinas'!F17</f>
        <v>#DIV/0!</v>
      </c>
      <c r="G52" s="138" t="e">
        <f>'C+P_Output_EU marinas'!G17</f>
        <v>#DIV/0!</v>
      </c>
      <c r="H52" s="138" t="e">
        <f>'C+P_Output_EU marinas'!H17</f>
        <v>#DIV/0!</v>
      </c>
      <c r="I52" s="138" t="e">
        <f>'C+P_Output_EU marinas'!I17</f>
        <v>#DIV/0!</v>
      </c>
      <c r="O52" s="64"/>
    </row>
    <row r="53" spans="1:15" x14ac:dyDescent="0.2">
      <c r="A53" s="64"/>
      <c r="C53" s="140" t="s">
        <v>113</v>
      </c>
      <c r="D53" s="140" t="s">
        <v>107</v>
      </c>
      <c r="E53" s="140">
        <v>7</v>
      </c>
      <c r="F53" s="138" t="e">
        <f>'C+P_Output_EU marinas'!F18</f>
        <v>#DIV/0!</v>
      </c>
      <c r="G53" s="138" t="e">
        <f>'C+P_Output_EU marinas'!G18</f>
        <v>#DIV/0!</v>
      </c>
      <c r="H53" s="138" t="e">
        <f>'C+P_Output_EU marinas'!H18</f>
        <v>#DIV/0!</v>
      </c>
      <c r="I53" s="138" t="e">
        <f>'C+P_Output_EU marinas'!I18</f>
        <v>#DIV/0!</v>
      </c>
      <c r="O53" s="64"/>
    </row>
    <row r="54" spans="1:15" x14ac:dyDescent="0.2">
      <c r="A54" s="64"/>
      <c r="C54" s="140" t="s">
        <v>114</v>
      </c>
      <c r="D54" s="140" t="s">
        <v>115</v>
      </c>
      <c r="E54" s="140">
        <v>2</v>
      </c>
      <c r="F54" s="138" t="e">
        <f>'C+P_Output_EU marinas'!F19</f>
        <v>#DIV/0!</v>
      </c>
      <c r="G54" s="138" t="e">
        <f>'C+P_Output_EU marinas'!G19</f>
        <v>#DIV/0!</v>
      </c>
      <c r="H54" s="138" t="e">
        <f>'C+P_Output_EU marinas'!H19</f>
        <v>#DIV/0!</v>
      </c>
      <c r="I54" s="138" t="e">
        <f>'C+P_Output_EU marinas'!I19</f>
        <v>#DIV/0!</v>
      </c>
      <c r="O54" s="64"/>
    </row>
    <row r="55" spans="1:15" x14ac:dyDescent="0.2">
      <c r="A55" s="64"/>
      <c r="C55" s="140" t="s">
        <v>116</v>
      </c>
      <c r="D55" s="140" t="s">
        <v>115</v>
      </c>
      <c r="E55" s="140">
        <v>3</v>
      </c>
      <c r="F55" s="138" t="e">
        <f>'C+P_Output_EU marinas'!F20</f>
        <v>#DIV/0!</v>
      </c>
      <c r="G55" s="138" t="e">
        <f>'C+P_Output_EU marinas'!G20</f>
        <v>#DIV/0!</v>
      </c>
      <c r="H55" s="138" t="e">
        <f>'C+P_Output_EU marinas'!H20</f>
        <v>#DIV/0!</v>
      </c>
      <c r="I55" s="138" t="e">
        <f>'C+P_Output_EU marinas'!I20</f>
        <v>#DIV/0!</v>
      </c>
      <c r="O55" s="64"/>
    </row>
    <row r="56" spans="1:15" x14ac:dyDescent="0.2">
      <c r="A56" s="64"/>
      <c r="C56" s="140" t="s">
        <v>117</v>
      </c>
      <c r="D56" s="140" t="s">
        <v>115</v>
      </c>
      <c r="E56" s="140">
        <v>5</v>
      </c>
      <c r="F56" s="138" t="e">
        <f>'C+P_Output_EU marinas'!F21</f>
        <v>#DIV/0!</v>
      </c>
      <c r="G56" s="138" t="e">
        <f>'C+P_Output_EU marinas'!G21</f>
        <v>#DIV/0!</v>
      </c>
      <c r="H56" s="138" t="e">
        <f>'C+P_Output_EU marinas'!H21</f>
        <v>#DIV/0!</v>
      </c>
      <c r="I56" s="138" t="e">
        <f>'C+P_Output_EU marinas'!I21</f>
        <v>#DIV/0!</v>
      </c>
      <c r="O56" s="64"/>
    </row>
    <row r="57" spans="1:15" x14ac:dyDescent="0.2">
      <c r="A57" s="64"/>
      <c r="C57" s="140" t="s">
        <v>118</v>
      </c>
      <c r="D57" s="140" t="s">
        <v>115</v>
      </c>
      <c r="E57" s="140">
        <v>6</v>
      </c>
      <c r="F57" s="138" t="e">
        <f>'C+P_Output_EU marinas'!F22</f>
        <v>#DIV/0!</v>
      </c>
      <c r="G57" s="138" t="e">
        <f>'C+P_Output_EU marinas'!G22</f>
        <v>#DIV/0!</v>
      </c>
      <c r="H57" s="138" t="e">
        <f>'C+P_Output_EU marinas'!H22</f>
        <v>#DIV/0!</v>
      </c>
      <c r="I57" s="138" t="e">
        <f>'C+P_Output_EU marinas'!I22</f>
        <v>#DIV/0!</v>
      </c>
      <c r="O57" s="64"/>
    </row>
    <row r="58" spans="1:15" x14ac:dyDescent="0.2">
      <c r="A58" s="64"/>
      <c r="C58" s="140" t="s">
        <v>119</v>
      </c>
      <c r="D58" s="140" t="s">
        <v>115</v>
      </c>
      <c r="E58" s="140">
        <v>11</v>
      </c>
      <c r="F58" s="138" t="e">
        <f>'C+P_Output_EU marinas'!F23</f>
        <v>#DIV/0!</v>
      </c>
      <c r="G58" s="138" t="e">
        <f>'C+P_Output_EU marinas'!G23</f>
        <v>#DIV/0!</v>
      </c>
      <c r="H58" s="138" t="e">
        <f>'C+P_Output_EU marinas'!H23</f>
        <v>#DIV/0!</v>
      </c>
      <c r="I58" s="138" t="e">
        <f>'C+P_Output_EU marinas'!I23</f>
        <v>#DIV/0!</v>
      </c>
      <c r="O58" s="64"/>
    </row>
    <row r="59" spans="1:15" x14ac:dyDescent="0.2">
      <c r="A59" s="64"/>
      <c r="C59" s="140" t="s">
        <v>120</v>
      </c>
      <c r="D59" s="140" t="s">
        <v>115</v>
      </c>
      <c r="E59" s="140">
        <v>12</v>
      </c>
      <c r="F59" s="138" t="e">
        <f>'C+P_Output_EU marinas'!F24</f>
        <v>#DIV/0!</v>
      </c>
      <c r="G59" s="138" t="e">
        <f>'C+P_Output_EU marinas'!G24</f>
        <v>#DIV/0!</v>
      </c>
      <c r="H59" s="138" t="e">
        <f>'C+P_Output_EU marinas'!H24</f>
        <v>#DIV/0!</v>
      </c>
      <c r="I59" s="138" t="e">
        <f>'C+P_Output_EU marinas'!I24</f>
        <v>#DIV/0!</v>
      </c>
      <c r="O59" s="64"/>
    </row>
    <row r="60" spans="1:15" x14ac:dyDescent="0.2">
      <c r="A60" s="64"/>
      <c r="C60" s="140" t="s">
        <v>121</v>
      </c>
      <c r="D60" s="140" t="s">
        <v>12</v>
      </c>
      <c r="E60" s="140" t="s">
        <v>122</v>
      </c>
      <c r="F60" s="138" t="e">
        <f>'C+P_Output_EU marinas'!F25</f>
        <v>#DIV/0!</v>
      </c>
      <c r="G60" s="138" t="e">
        <f>'C+P_Output_EU marinas'!G25</f>
        <v>#DIV/0!</v>
      </c>
      <c r="H60" s="138" t="e">
        <f>'C+P_Output_EU marinas'!H25</f>
        <v>#DIV/0!</v>
      </c>
      <c r="I60" s="138" t="e">
        <f>'C+P_Output_EU marinas'!I25</f>
        <v>#DIV/0!</v>
      </c>
      <c r="O60" s="64"/>
    </row>
    <row r="61" spans="1:15" x14ac:dyDescent="0.2">
      <c r="A61" s="64"/>
      <c r="C61" s="140" t="s">
        <v>123</v>
      </c>
      <c r="D61" s="140" t="s">
        <v>12</v>
      </c>
      <c r="E61" s="140" t="s">
        <v>124</v>
      </c>
      <c r="F61" s="138" t="e">
        <f>'C+P_Output_EU marinas'!F26</f>
        <v>#DIV/0!</v>
      </c>
      <c r="G61" s="138" t="e">
        <f>'C+P_Output_EU marinas'!G26</f>
        <v>#DIV/0!</v>
      </c>
      <c r="H61" s="138" t="e">
        <f>'C+P_Output_EU marinas'!H26</f>
        <v>#DIV/0!</v>
      </c>
      <c r="I61" s="138" t="e">
        <f>'C+P_Output_EU marinas'!I26</f>
        <v>#DIV/0!</v>
      </c>
      <c r="O61" s="64"/>
    </row>
    <row r="62" spans="1:15" x14ac:dyDescent="0.2">
      <c r="A62" s="64"/>
      <c r="C62" s="140" t="s">
        <v>125</v>
      </c>
      <c r="D62" s="140" t="s">
        <v>12</v>
      </c>
      <c r="E62" s="140" t="s">
        <v>126</v>
      </c>
      <c r="F62" s="138" t="e">
        <f>'C+P_Output_EU marinas'!F27</f>
        <v>#DIV/0!</v>
      </c>
      <c r="G62" s="138" t="e">
        <f>'C+P_Output_EU marinas'!G27</f>
        <v>#DIV/0!</v>
      </c>
      <c r="H62" s="138" t="e">
        <f>'C+P_Output_EU marinas'!H27</f>
        <v>#DIV/0!</v>
      </c>
      <c r="I62" s="138" t="e">
        <f>'C+P_Output_EU marinas'!I27</f>
        <v>#DIV/0!</v>
      </c>
      <c r="O62" s="64"/>
    </row>
    <row r="63" spans="1:15" x14ac:dyDescent="0.2">
      <c r="A63" s="64"/>
      <c r="C63" s="140" t="s">
        <v>127</v>
      </c>
      <c r="D63" s="140" t="s">
        <v>12</v>
      </c>
      <c r="E63" s="140" t="s">
        <v>128</v>
      </c>
      <c r="F63" s="138" t="e">
        <f>'C+P_Output_EU marinas'!F28</f>
        <v>#DIV/0!</v>
      </c>
      <c r="G63" s="138" t="e">
        <f>'C+P_Output_EU marinas'!G28</f>
        <v>#DIV/0!</v>
      </c>
      <c r="H63" s="138" t="e">
        <f>'C+P_Output_EU marinas'!H28</f>
        <v>#DIV/0!</v>
      </c>
      <c r="I63" s="138" t="e">
        <f>'C+P_Output_EU marinas'!I28</f>
        <v>#DIV/0!</v>
      </c>
      <c r="O63" s="64"/>
    </row>
    <row r="64" spans="1:15" x14ac:dyDescent="0.2">
      <c r="A64" s="64"/>
      <c r="C64" s="140" t="s">
        <v>129</v>
      </c>
      <c r="D64" s="140" t="s">
        <v>12</v>
      </c>
      <c r="E64" s="140" t="s">
        <v>130</v>
      </c>
      <c r="F64" s="138" t="e">
        <f>'C+P_Output_EU marinas'!F29</f>
        <v>#DIV/0!</v>
      </c>
      <c r="G64" s="138" t="e">
        <f>'C+P_Output_EU marinas'!G29</f>
        <v>#DIV/0!</v>
      </c>
      <c r="H64" s="138" t="e">
        <f>'C+P_Output_EU marinas'!H29</f>
        <v>#DIV/0!</v>
      </c>
      <c r="I64" s="138" t="e">
        <f>'C+P_Output_EU marinas'!I29</f>
        <v>#DIV/0!</v>
      </c>
      <c r="O64" s="64"/>
    </row>
    <row r="65" spans="1:15" x14ac:dyDescent="0.2">
      <c r="A65" s="64"/>
      <c r="C65" s="140" t="s">
        <v>131</v>
      </c>
      <c r="D65" s="140" t="s">
        <v>12</v>
      </c>
      <c r="E65" s="140" t="s">
        <v>132</v>
      </c>
      <c r="F65" s="138" t="e">
        <f>'C+P_Output_EU marinas'!F30</f>
        <v>#DIV/0!</v>
      </c>
      <c r="G65" s="138" t="e">
        <f>'C+P_Output_EU marinas'!G30</f>
        <v>#DIV/0!</v>
      </c>
      <c r="H65" s="138" t="e">
        <f>'C+P_Output_EU marinas'!H30</f>
        <v>#DIV/0!</v>
      </c>
      <c r="I65" s="138" t="e">
        <f>'C+P_Output_EU marinas'!I30</f>
        <v>#DIV/0!</v>
      </c>
      <c r="O65" s="64"/>
    </row>
    <row r="66" spans="1:15" x14ac:dyDescent="0.2">
      <c r="A66" s="64"/>
      <c r="C66" s="140" t="s">
        <v>133</v>
      </c>
      <c r="D66" s="140" t="s">
        <v>12</v>
      </c>
      <c r="E66" s="140" t="s">
        <v>134</v>
      </c>
      <c r="F66" s="138" t="e">
        <f>'C+P_Output_EU marinas'!F31</f>
        <v>#DIV/0!</v>
      </c>
      <c r="G66" s="138" t="e">
        <f>'C+P_Output_EU marinas'!G31</f>
        <v>#DIV/0!</v>
      </c>
      <c r="H66" s="138" t="e">
        <f>'C+P_Output_EU marinas'!H31</f>
        <v>#DIV/0!</v>
      </c>
      <c r="I66" s="138" t="e">
        <f>'C+P_Output_EU marinas'!I31</f>
        <v>#DIV/0!</v>
      </c>
      <c r="O66" s="64"/>
    </row>
    <row r="67" spans="1:15" x14ac:dyDescent="0.2">
      <c r="A67" s="64"/>
      <c r="C67" s="140" t="s">
        <v>135</v>
      </c>
      <c r="D67" s="140" t="s">
        <v>12</v>
      </c>
      <c r="E67" s="140" t="s">
        <v>136</v>
      </c>
      <c r="F67" s="138" t="e">
        <f>'C+P_Output_EU marinas'!F32</f>
        <v>#DIV/0!</v>
      </c>
      <c r="G67" s="138" t="e">
        <f>'C+P_Output_EU marinas'!G32</f>
        <v>#DIV/0!</v>
      </c>
      <c r="H67" s="138" t="e">
        <f>'C+P_Output_EU marinas'!H32</f>
        <v>#DIV/0!</v>
      </c>
      <c r="I67" s="138" t="e">
        <f>'C+P_Output_EU marinas'!I32</f>
        <v>#DIV/0!</v>
      </c>
      <c r="O67" s="64"/>
    </row>
    <row r="68" spans="1:15" x14ac:dyDescent="0.2">
      <c r="A68" s="64"/>
      <c r="C68" s="140" t="s">
        <v>137</v>
      </c>
      <c r="D68" s="140" t="s">
        <v>12</v>
      </c>
      <c r="E68" s="140" t="s">
        <v>138</v>
      </c>
      <c r="F68" s="138" t="e">
        <f>'C+P_Output_EU marinas'!F33</f>
        <v>#DIV/0!</v>
      </c>
      <c r="G68" s="138" t="e">
        <f>'C+P_Output_EU marinas'!G33</f>
        <v>#DIV/0!</v>
      </c>
      <c r="H68" s="138" t="e">
        <f>'C+P_Output_EU marinas'!H33</f>
        <v>#DIV/0!</v>
      </c>
      <c r="I68" s="138" t="e">
        <f>'C+P_Output_EU marinas'!I33</f>
        <v>#DIV/0!</v>
      </c>
      <c r="O68" s="64"/>
    </row>
    <row r="69" spans="1:15" x14ac:dyDescent="0.2">
      <c r="A69" s="64"/>
      <c r="C69" s="140" t="s">
        <v>139</v>
      </c>
      <c r="D69" s="140" t="s">
        <v>12</v>
      </c>
      <c r="E69" s="140" t="s">
        <v>140</v>
      </c>
      <c r="F69" s="138" t="e">
        <f>'C+P_Output_EU marinas'!F34</f>
        <v>#DIV/0!</v>
      </c>
      <c r="G69" s="138" t="e">
        <f>'C+P_Output_EU marinas'!G34</f>
        <v>#DIV/0!</v>
      </c>
      <c r="H69" s="138" t="e">
        <f>'C+P_Output_EU marinas'!H34</f>
        <v>#DIV/0!</v>
      </c>
      <c r="I69" s="138" t="e">
        <f>'C+P_Output_EU marinas'!I34</f>
        <v>#DIV/0!</v>
      </c>
      <c r="O69" s="64"/>
    </row>
    <row r="70" spans="1:15" x14ac:dyDescent="0.2">
      <c r="A70" s="64"/>
      <c r="C70" s="140" t="s">
        <v>141</v>
      </c>
      <c r="D70" s="140" t="s">
        <v>13</v>
      </c>
      <c r="E70" s="140">
        <v>1</v>
      </c>
      <c r="F70" s="138" t="e">
        <f>'C+P_Output_EU marinas'!F35</f>
        <v>#DIV/0!</v>
      </c>
      <c r="G70" s="138" t="e">
        <f>'C+P_Output_EU marinas'!G35</f>
        <v>#DIV/0!</v>
      </c>
      <c r="H70" s="138" t="e">
        <f>'C+P_Output_EU marinas'!H35</f>
        <v>#DIV/0!</v>
      </c>
      <c r="I70" s="138" t="e">
        <f>'C+P_Output_EU marinas'!I35</f>
        <v>#DIV/0!</v>
      </c>
      <c r="O70" s="64"/>
    </row>
    <row r="71" spans="1:15" x14ac:dyDescent="0.2">
      <c r="A71" s="64"/>
      <c r="C71" s="140" t="s">
        <v>142</v>
      </c>
      <c r="D71" s="140" t="s">
        <v>13</v>
      </c>
      <c r="E71" s="140">
        <v>3</v>
      </c>
      <c r="F71" s="138" t="e">
        <f>'C+P_Output_EU marinas'!F36</f>
        <v>#DIV/0!</v>
      </c>
      <c r="G71" s="138" t="e">
        <f>'C+P_Output_EU marinas'!G36</f>
        <v>#DIV/0!</v>
      </c>
      <c r="H71" s="138" t="e">
        <f>'C+P_Output_EU marinas'!H36</f>
        <v>#DIV/0!</v>
      </c>
      <c r="I71" s="138" t="e">
        <f>'C+P_Output_EU marinas'!I36</f>
        <v>#DIV/0!</v>
      </c>
      <c r="O71" s="64"/>
    </row>
    <row r="72" spans="1:15" x14ac:dyDescent="0.2">
      <c r="A72" s="64"/>
      <c r="C72" s="140" t="s">
        <v>143</v>
      </c>
      <c r="D72" s="140" t="s">
        <v>13</v>
      </c>
      <c r="E72" s="140">
        <v>4</v>
      </c>
      <c r="F72" s="138" t="e">
        <f>'C+P_Output_EU marinas'!F37</f>
        <v>#DIV/0!</v>
      </c>
      <c r="G72" s="138" t="e">
        <f>'C+P_Output_EU marinas'!G37</f>
        <v>#DIV/0!</v>
      </c>
      <c r="H72" s="138" t="e">
        <f>'C+P_Output_EU marinas'!H37</f>
        <v>#DIV/0!</v>
      </c>
      <c r="I72" s="138" t="e">
        <f>'C+P_Output_EU marinas'!I37</f>
        <v>#DIV/0!</v>
      </c>
      <c r="O72" s="64"/>
    </row>
    <row r="73" spans="1:15" x14ac:dyDescent="0.2">
      <c r="A73" s="64"/>
      <c r="C73" s="140" t="s">
        <v>144</v>
      </c>
      <c r="D73" s="140" t="s">
        <v>13</v>
      </c>
      <c r="E73" s="140">
        <v>6</v>
      </c>
      <c r="F73" s="138" t="e">
        <f>'C+P_Output_EU marinas'!F38</f>
        <v>#DIV/0!</v>
      </c>
      <c r="G73" s="138" t="e">
        <f>'C+P_Output_EU marinas'!G38</f>
        <v>#DIV/0!</v>
      </c>
      <c r="H73" s="138" t="e">
        <f>'C+P_Output_EU marinas'!H38</f>
        <v>#DIV/0!</v>
      </c>
      <c r="I73" s="138" t="e">
        <f>'C+P_Output_EU marinas'!I38</f>
        <v>#DIV/0!</v>
      </c>
      <c r="O73" s="64"/>
    </row>
    <row r="74" spans="1:15" x14ac:dyDescent="0.2">
      <c r="A74" s="64"/>
      <c r="C74" s="140" t="s">
        <v>145</v>
      </c>
      <c r="D74" s="140" t="s">
        <v>13</v>
      </c>
      <c r="E74" s="140">
        <v>7</v>
      </c>
      <c r="F74" s="138" t="e">
        <f>'C+P_Output_EU marinas'!F39</f>
        <v>#DIV/0!</v>
      </c>
      <c r="G74" s="138" t="e">
        <f>'C+P_Output_EU marinas'!G39</f>
        <v>#DIV/0!</v>
      </c>
      <c r="H74" s="138" t="e">
        <f>'C+P_Output_EU marinas'!H39</f>
        <v>#DIV/0!</v>
      </c>
      <c r="I74" s="138" t="e">
        <f>'C+P_Output_EU marinas'!I39</f>
        <v>#DIV/0!</v>
      </c>
      <c r="O74" s="64"/>
    </row>
    <row r="75" spans="1:15" x14ac:dyDescent="0.2">
      <c r="A75" s="64"/>
      <c r="C75" s="140" t="s">
        <v>146</v>
      </c>
      <c r="D75" s="140" t="s">
        <v>13</v>
      </c>
      <c r="E75" s="140">
        <v>8</v>
      </c>
      <c r="F75" s="138" t="e">
        <f>'C+P_Output_EU marinas'!F40</f>
        <v>#DIV/0!</v>
      </c>
      <c r="G75" s="138" t="e">
        <f>'C+P_Output_EU marinas'!G40</f>
        <v>#DIV/0!</v>
      </c>
      <c r="H75" s="138" t="e">
        <f>'C+P_Output_EU marinas'!H40</f>
        <v>#DIV/0!</v>
      </c>
      <c r="I75" s="138" t="e">
        <f>'C+P_Output_EU marinas'!I40</f>
        <v>#DIV/0!</v>
      </c>
      <c r="O75" s="64"/>
    </row>
    <row r="76" spans="1:15" x14ac:dyDescent="0.2">
      <c r="A76" s="64"/>
      <c r="C76" s="140" t="s">
        <v>147</v>
      </c>
      <c r="D76" s="140" t="s">
        <v>13</v>
      </c>
      <c r="E76" s="140">
        <v>14</v>
      </c>
      <c r="F76" s="138" t="e">
        <f>'C+P_Output_EU marinas'!F41</f>
        <v>#DIV/0!</v>
      </c>
      <c r="G76" s="138" t="e">
        <f>'C+P_Output_EU marinas'!G41</f>
        <v>#DIV/0!</v>
      </c>
      <c r="H76" s="138" t="e">
        <f>'C+P_Output_EU marinas'!H41</f>
        <v>#DIV/0!</v>
      </c>
      <c r="I76" s="138" t="e">
        <f>'C+P_Output_EU marinas'!I41</f>
        <v>#DIV/0!</v>
      </c>
      <c r="O76" s="64"/>
    </row>
    <row r="77" spans="1:15" x14ac:dyDescent="0.2">
      <c r="A77" s="64"/>
      <c r="C77" s="140" t="s">
        <v>148</v>
      </c>
      <c r="D77" s="140" t="s">
        <v>13</v>
      </c>
      <c r="E77" s="140">
        <v>17</v>
      </c>
      <c r="F77" s="138" t="e">
        <f>'C+P_Output_EU marinas'!F42</f>
        <v>#DIV/0!</v>
      </c>
      <c r="G77" s="138" t="e">
        <f>'C+P_Output_EU marinas'!G42</f>
        <v>#DIV/0!</v>
      </c>
      <c r="H77" s="138" t="e">
        <f>'C+P_Output_EU marinas'!H42</f>
        <v>#DIV/0!</v>
      </c>
      <c r="I77" s="138" t="e">
        <f>'C+P_Output_EU marinas'!I42</f>
        <v>#DIV/0!</v>
      </c>
      <c r="O77" s="64"/>
    </row>
    <row r="78" spans="1:15" x14ac:dyDescent="0.2">
      <c r="A78" s="64"/>
      <c r="C78" s="140" t="s">
        <v>149</v>
      </c>
      <c r="D78" s="140" t="s">
        <v>13</v>
      </c>
      <c r="E78" s="140">
        <v>21</v>
      </c>
      <c r="F78" s="138" t="e">
        <f>'C+P_Output_EU marinas'!F43</f>
        <v>#DIV/0!</v>
      </c>
      <c r="G78" s="138" t="e">
        <f>'C+P_Output_EU marinas'!G43</f>
        <v>#DIV/0!</v>
      </c>
      <c r="H78" s="138" t="e">
        <f>'C+P_Output_EU marinas'!H43</f>
        <v>#DIV/0!</v>
      </c>
      <c r="I78" s="138" t="e">
        <f>'C+P_Output_EU marinas'!I43</f>
        <v>#DIV/0!</v>
      </c>
      <c r="O78" s="64"/>
    </row>
    <row r="79" spans="1:15" x14ac:dyDescent="0.2">
      <c r="A79" s="64"/>
      <c r="C79" s="140" t="s">
        <v>150</v>
      </c>
      <c r="D79" s="140" t="s">
        <v>13</v>
      </c>
      <c r="E79" s="140">
        <v>26</v>
      </c>
      <c r="F79" s="138" t="e">
        <f>'C+P_Output_EU marinas'!F44</f>
        <v>#DIV/0!</v>
      </c>
      <c r="G79" s="138" t="e">
        <f>'C+P_Output_EU marinas'!G44</f>
        <v>#DIV/0!</v>
      </c>
      <c r="H79" s="138" t="e">
        <f>'C+P_Output_EU marinas'!H44</f>
        <v>#DIV/0!</v>
      </c>
      <c r="I79" s="138" t="e">
        <f>'C+P_Output_EU marinas'!I44</f>
        <v>#DIV/0!</v>
      </c>
      <c r="O79" s="64"/>
    </row>
    <row r="80" spans="1:15" x14ac:dyDescent="0.2">
      <c r="A80" s="64"/>
      <c r="C80" s="140" t="s">
        <v>151</v>
      </c>
      <c r="D80" s="140" t="s">
        <v>13</v>
      </c>
      <c r="E80" s="140">
        <v>30</v>
      </c>
      <c r="F80" s="138" t="e">
        <f>'C+P_Output_EU marinas'!F45</f>
        <v>#DIV/0!</v>
      </c>
      <c r="G80" s="138" t="e">
        <f>'C+P_Output_EU marinas'!G45</f>
        <v>#DIV/0!</v>
      </c>
      <c r="H80" s="138" t="e">
        <f>'C+P_Output_EU marinas'!H45</f>
        <v>#DIV/0!</v>
      </c>
      <c r="I80" s="138" t="e">
        <f>'C+P_Output_EU marinas'!I45</f>
        <v>#DIV/0!</v>
      </c>
      <c r="O80" s="64"/>
    </row>
    <row r="81" spans="1:15" x14ac:dyDescent="0.2">
      <c r="A81" s="64"/>
      <c r="C81" s="140" t="s">
        <v>152</v>
      </c>
      <c r="D81" s="140" t="s">
        <v>13</v>
      </c>
      <c r="E81" s="140">
        <v>34</v>
      </c>
      <c r="F81" s="138" t="e">
        <f>'C+P_Output_EU marinas'!F46</f>
        <v>#DIV/0!</v>
      </c>
      <c r="G81" s="138" t="e">
        <f>'C+P_Output_EU marinas'!G46</f>
        <v>#DIV/0!</v>
      </c>
      <c r="H81" s="138" t="e">
        <f>'C+P_Output_EU marinas'!H46</f>
        <v>#DIV/0!</v>
      </c>
      <c r="I81" s="138" t="e">
        <f>'C+P_Output_EU marinas'!I46</f>
        <v>#DIV/0!</v>
      </c>
      <c r="O81" s="64"/>
    </row>
    <row r="82" spans="1:15" x14ac:dyDescent="0.2">
      <c r="A82" s="64"/>
      <c r="C82" s="140" t="s">
        <v>153</v>
      </c>
      <c r="D82" s="140" t="s">
        <v>13</v>
      </c>
      <c r="E82" s="140">
        <v>40</v>
      </c>
      <c r="F82" s="138" t="e">
        <f>'C+P_Output_EU marinas'!F47</f>
        <v>#DIV/0!</v>
      </c>
      <c r="G82" s="138" t="e">
        <f>'C+P_Output_EU marinas'!G47</f>
        <v>#DIV/0!</v>
      </c>
      <c r="H82" s="138" t="e">
        <f>'C+P_Output_EU marinas'!H47</f>
        <v>#DIV/0!</v>
      </c>
      <c r="I82" s="138" t="e">
        <f>'C+P_Output_EU marinas'!I47</f>
        <v>#DIV/0!</v>
      </c>
      <c r="O82" s="64"/>
    </row>
    <row r="83" spans="1:15" x14ac:dyDescent="0.2">
      <c r="A83" s="64"/>
      <c r="C83" s="140" t="s">
        <v>154</v>
      </c>
      <c r="D83" s="140" t="s">
        <v>13</v>
      </c>
      <c r="E83" s="140">
        <v>42</v>
      </c>
      <c r="F83" s="138" t="e">
        <f>'C+P_Output_EU marinas'!F48</f>
        <v>#DIV/0!</v>
      </c>
      <c r="G83" s="138" t="e">
        <f>'C+P_Output_EU marinas'!G48</f>
        <v>#DIV/0!</v>
      </c>
      <c r="H83" s="138" t="e">
        <f>'C+P_Output_EU marinas'!H48</f>
        <v>#DIV/0!</v>
      </c>
      <c r="I83" s="138" t="e">
        <f>'C+P_Output_EU marinas'!I48</f>
        <v>#DIV/0!</v>
      </c>
      <c r="O83" s="64"/>
    </row>
    <row r="84" spans="1:15" x14ac:dyDescent="0.2">
      <c r="A84" s="64"/>
      <c r="C84" s="140" t="s">
        <v>155</v>
      </c>
      <c r="D84" s="140" t="s">
        <v>13</v>
      </c>
      <c r="E84" s="140">
        <v>44</v>
      </c>
      <c r="F84" s="138" t="e">
        <f>'C+P_Output_EU marinas'!F49</f>
        <v>#DIV/0!</v>
      </c>
      <c r="G84" s="138" t="e">
        <f>'C+P_Output_EU marinas'!G49</f>
        <v>#DIV/0!</v>
      </c>
      <c r="H84" s="138" t="e">
        <f>'C+P_Output_EU marinas'!H49</f>
        <v>#DIV/0!</v>
      </c>
      <c r="I84" s="138" t="e">
        <f>'C+P_Output_EU marinas'!I49</f>
        <v>#DIV/0!</v>
      </c>
      <c r="O84" s="64"/>
    </row>
    <row r="85" spans="1:15" x14ac:dyDescent="0.2">
      <c r="A85" s="64"/>
      <c r="C85" s="140" t="s">
        <v>156</v>
      </c>
      <c r="D85" s="140" t="s">
        <v>13</v>
      </c>
      <c r="E85" s="140">
        <v>45</v>
      </c>
      <c r="F85" s="138" t="e">
        <f>'C+P_Output_EU marinas'!F50</f>
        <v>#DIV/0!</v>
      </c>
      <c r="G85" s="138" t="e">
        <f>'C+P_Output_EU marinas'!G50</f>
        <v>#DIV/0!</v>
      </c>
      <c r="H85" s="138" t="e">
        <f>'C+P_Output_EU marinas'!H50</f>
        <v>#DIV/0!</v>
      </c>
      <c r="I85" s="138" t="e">
        <f>'C+P_Output_EU marinas'!I50</f>
        <v>#DIV/0!</v>
      </c>
      <c r="O85" s="64"/>
    </row>
    <row r="86" spans="1:15" x14ac:dyDescent="0.2">
      <c r="A86" s="64"/>
      <c r="C86" s="140" t="s">
        <v>157</v>
      </c>
      <c r="D86" s="140" t="s">
        <v>13</v>
      </c>
      <c r="E86" s="140">
        <v>46</v>
      </c>
      <c r="F86" s="138" t="e">
        <f>'C+P_Output_EU marinas'!F51</f>
        <v>#DIV/0!</v>
      </c>
      <c r="G86" s="138" t="e">
        <f>'C+P_Output_EU marinas'!G51</f>
        <v>#DIV/0!</v>
      </c>
      <c r="H86" s="138" t="e">
        <f>'C+P_Output_EU marinas'!H51</f>
        <v>#DIV/0!</v>
      </c>
      <c r="I86" s="138" t="e">
        <f>'C+P_Output_EU marinas'!I51</f>
        <v>#DIV/0!</v>
      </c>
      <c r="O86" s="64"/>
    </row>
    <row r="87" spans="1:15" x14ac:dyDescent="0.2">
      <c r="A87" s="64"/>
      <c r="C87" s="140" t="s">
        <v>158</v>
      </c>
      <c r="D87" s="140" t="s">
        <v>13</v>
      </c>
      <c r="E87" s="140">
        <v>48</v>
      </c>
      <c r="F87" s="138" t="e">
        <f>'C+P_Output_EU marinas'!F52</f>
        <v>#DIV/0!</v>
      </c>
      <c r="G87" s="138" t="e">
        <f>'C+P_Output_EU marinas'!G52</f>
        <v>#DIV/0!</v>
      </c>
      <c r="H87" s="138" t="e">
        <f>'C+P_Output_EU marinas'!H52</f>
        <v>#DIV/0!</v>
      </c>
      <c r="I87" s="138" t="e">
        <f>'C+P_Output_EU marinas'!I52</f>
        <v>#DIV/0!</v>
      </c>
      <c r="O87" s="64"/>
    </row>
    <row r="88" spans="1:15" x14ac:dyDescent="0.2">
      <c r="A88" s="64"/>
      <c r="C88" s="140" t="s">
        <v>159</v>
      </c>
      <c r="D88" s="140" t="s">
        <v>160</v>
      </c>
      <c r="E88" s="140">
        <v>1</v>
      </c>
      <c r="F88" s="138" t="e">
        <f>'C+P_Output_EU marinas'!F53</f>
        <v>#DIV/0!</v>
      </c>
      <c r="G88" s="138" t="e">
        <f>'C+P_Output_EU marinas'!G53</f>
        <v>#DIV/0!</v>
      </c>
      <c r="H88" s="138" t="e">
        <f>'C+P_Output_EU marinas'!H53</f>
        <v>#DIV/0!</v>
      </c>
      <c r="I88" s="138" t="e">
        <f>'C+P_Output_EU marinas'!I53</f>
        <v>#DIV/0!</v>
      </c>
      <c r="O88" s="64"/>
    </row>
    <row r="89" spans="1:15" x14ac:dyDescent="0.2">
      <c r="A89" s="64"/>
      <c r="C89" s="140" t="s">
        <v>161</v>
      </c>
      <c r="D89" s="140" t="s">
        <v>160</v>
      </c>
      <c r="E89" s="140">
        <v>2</v>
      </c>
      <c r="F89" s="138" t="e">
        <f>'C+P_Output_EU marinas'!F54</f>
        <v>#DIV/0!</v>
      </c>
      <c r="G89" s="138" t="e">
        <f>'C+P_Output_EU marinas'!G54</f>
        <v>#DIV/0!</v>
      </c>
      <c r="H89" s="138" t="e">
        <f>'C+P_Output_EU marinas'!H54</f>
        <v>#DIV/0!</v>
      </c>
      <c r="I89" s="138" t="e">
        <f>'C+P_Output_EU marinas'!I54</f>
        <v>#DIV/0!</v>
      </c>
      <c r="O89" s="64"/>
    </row>
    <row r="90" spans="1:15" x14ac:dyDescent="0.2">
      <c r="A90" s="64"/>
      <c r="C90" s="140" t="s">
        <v>162</v>
      </c>
      <c r="D90" s="140" t="s">
        <v>160</v>
      </c>
      <c r="E90" s="140">
        <v>3</v>
      </c>
      <c r="F90" s="138" t="e">
        <f>'C+P_Output_EU marinas'!F55</f>
        <v>#DIV/0!</v>
      </c>
      <c r="G90" s="138" t="e">
        <f>'C+P_Output_EU marinas'!G55</f>
        <v>#DIV/0!</v>
      </c>
      <c r="H90" s="138" t="e">
        <f>'C+P_Output_EU marinas'!H55</f>
        <v>#DIV/0!</v>
      </c>
      <c r="I90" s="138" t="e">
        <f>'C+P_Output_EU marinas'!I55</f>
        <v>#DIV/0!</v>
      </c>
      <c r="O90" s="64"/>
    </row>
    <row r="91" spans="1:15" x14ac:dyDescent="0.2">
      <c r="A91" s="64"/>
      <c r="C91" s="140" t="s">
        <v>163</v>
      </c>
      <c r="D91" s="140" t="s">
        <v>160</v>
      </c>
      <c r="E91" s="140">
        <v>4</v>
      </c>
      <c r="F91" s="138" t="e">
        <f>'C+P_Output_EU marinas'!F56</f>
        <v>#DIV/0!</v>
      </c>
      <c r="G91" s="138" t="e">
        <f>'C+P_Output_EU marinas'!G56</f>
        <v>#DIV/0!</v>
      </c>
      <c r="H91" s="138" t="e">
        <f>'C+P_Output_EU marinas'!H56</f>
        <v>#DIV/0!</v>
      </c>
      <c r="I91" s="138" t="e">
        <f>'C+P_Output_EU marinas'!I56</f>
        <v>#DIV/0!</v>
      </c>
      <c r="O91" s="64"/>
    </row>
    <row r="92" spans="1:15" x14ac:dyDescent="0.2">
      <c r="A92" s="64"/>
      <c r="C92" s="140" t="s">
        <v>164</v>
      </c>
      <c r="D92" s="140" t="s">
        <v>160</v>
      </c>
      <c r="E92" s="140">
        <v>5</v>
      </c>
      <c r="F92" s="138" t="e">
        <f>'C+P_Output_EU marinas'!F57</f>
        <v>#DIV/0!</v>
      </c>
      <c r="G92" s="138" t="e">
        <f>'C+P_Output_EU marinas'!G57</f>
        <v>#DIV/0!</v>
      </c>
      <c r="H92" s="138" t="e">
        <f>'C+P_Output_EU marinas'!H57</f>
        <v>#DIV/0!</v>
      </c>
      <c r="I92" s="138" t="e">
        <f>'C+P_Output_EU marinas'!I57</f>
        <v>#DIV/0!</v>
      </c>
      <c r="O92" s="64"/>
    </row>
    <row r="93" spans="1:15" s="87" customFormat="1" x14ac:dyDescent="0.2">
      <c r="A93" s="64"/>
      <c r="B93" s="3"/>
      <c r="C93" s="174" t="s">
        <v>172</v>
      </c>
      <c r="D93" s="174"/>
      <c r="E93" s="174"/>
      <c r="F93" s="138" t="e">
        <f>'C+P_Output_Regulatory_Marinas'!D12</f>
        <v>#DIV/0!</v>
      </c>
      <c r="G93" s="138" t="e">
        <f>'C+P_Output_Regulatory_Marinas'!E12</f>
        <v>#DIV/0!</v>
      </c>
      <c r="H93" s="138" t="e">
        <f>'C+P_Output_Regulatory_Marinas'!F12</f>
        <v>#DIV/0!</v>
      </c>
      <c r="I93" s="138" t="e">
        <f>'C+P_Output_Regulatory_Marinas'!G12</f>
        <v>#DIV/0!</v>
      </c>
      <c r="K93" s="3"/>
      <c r="O93" s="64"/>
    </row>
    <row r="94" spans="1:15" s="91" customFormat="1" x14ac:dyDescent="0.2">
      <c r="A94" s="64"/>
      <c r="B94" s="3"/>
      <c r="C94" s="174" t="s">
        <v>173</v>
      </c>
      <c r="D94" s="174"/>
      <c r="E94" s="174"/>
      <c r="F94" s="138" t="e">
        <f>'C+P_Output_Regulatory_Marinas'!D13</f>
        <v>#DIV/0!</v>
      </c>
      <c r="G94" s="138" t="e">
        <f>'C+P_Output_Regulatory_Marinas'!E13</f>
        <v>#DIV/0!</v>
      </c>
      <c r="H94" s="138" t="e">
        <f>'C+P_Output_Regulatory_Marinas'!F13</f>
        <v>#DIV/0!</v>
      </c>
      <c r="I94" s="138" t="e">
        <f>'C+P_Output_Regulatory_Marinas'!G13</f>
        <v>#DIV/0!</v>
      </c>
      <c r="K94" s="3"/>
      <c r="O94" s="64"/>
    </row>
    <row r="95" spans="1:15" x14ac:dyDescent="0.2">
      <c r="A95" s="64"/>
      <c r="B95"/>
      <c r="O95" s="64"/>
    </row>
    <row r="96" spans="1:15" x14ac:dyDescent="0.2">
      <c r="A96" s="64"/>
      <c r="B96" s="64"/>
      <c r="C96" s="64"/>
      <c r="D96" s="64"/>
      <c r="E96" s="64"/>
      <c r="F96" s="64"/>
      <c r="G96" s="64"/>
      <c r="H96" s="64"/>
      <c r="I96" s="64"/>
      <c r="J96" s="64"/>
      <c r="K96" s="64"/>
      <c r="L96" s="64"/>
      <c r="M96" s="64"/>
      <c r="N96" s="64"/>
      <c r="O96" s="64"/>
    </row>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sheetData>
  <mergeCells count="16">
    <mergeCell ref="C94:E94"/>
    <mergeCell ref="C28:G28"/>
    <mergeCell ref="C9:G9"/>
    <mergeCell ref="C11:G11"/>
    <mergeCell ref="C16:G16"/>
    <mergeCell ref="C23:G23"/>
    <mergeCell ref="C20:F20"/>
    <mergeCell ref="C21:F21"/>
    <mergeCell ref="C18:F18"/>
    <mergeCell ref="C19:F19"/>
    <mergeCell ref="C35:E35"/>
    <mergeCell ref="C36:E36"/>
    <mergeCell ref="C37:E37"/>
    <mergeCell ref="C38:E38"/>
    <mergeCell ref="C93:E93"/>
    <mergeCell ref="D46:E46"/>
  </mergeCells>
  <conditionalFormatting sqref="F47:I94">
    <cfRule type="cellIs" dxfId="20" priority="2" operator="greaterThan">
      <formula>1</formula>
    </cfRule>
  </conditionalFormatting>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Z395"/>
  <sheetViews>
    <sheetView zoomScale="85" zoomScaleNormal="85" workbookViewId="0"/>
  </sheetViews>
  <sheetFormatPr defaultColWidth="0" defaultRowHeight="12.75" zeroHeight="1" x14ac:dyDescent="0.2"/>
  <cols>
    <col min="1" max="2" width="3.125" style="3" customWidth="1"/>
    <col min="3" max="3" width="23.75" style="91" customWidth="1"/>
    <col min="4" max="4" width="3.625" style="91" customWidth="1"/>
    <col min="5" max="5" width="4.625" style="91" customWidth="1"/>
    <col min="6" max="10" width="16.625" style="91" customWidth="1"/>
    <col min="11" max="11" width="16.625" style="3" customWidth="1"/>
    <col min="12" max="13" width="16.625" style="91" customWidth="1"/>
    <col min="14" max="14" width="3.125" style="91" customWidth="1"/>
    <col min="15" max="15" width="3" style="91" customWidth="1"/>
    <col min="16" max="16" width="12.75" style="91" hidden="1" customWidth="1"/>
    <col min="17" max="17" width="12.25" style="91" hidden="1" customWidth="1"/>
    <col min="18" max="18" width="12.5" style="91" hidden="1" customWidth="1"/>
    <col min="19" max="19" width="12.25" style="91" hidden="1" customWidth="1"/>
    <col min="20" max="26" width="0" style="91" hidden="1" customWidth="1"/>
    <col min="27" max="16384" width="9" style="91" hidden="1"/>
  </cols>
  <sheetData>
    <row r="1" spans="1:15" x14ac:dyDescent="0.2">
      <c r="A1" s="64"/>
      <c r="B1" s="64"/>
      <c r="C1" s="64"/>
      <c r="D1" s="64"/>
      <c r="E1" s="64"/>
      <c r="F1" s="64"/>
      <c r="G1" s="64"/>
      <c r="H1" s="64"/>
      <c r="I1" s="64"/>
      <c r="J1" s="64"/>
      <c r="K1" s="64"/>
      <c r="L1" s="64"/>
      <c r="M1" s="64"/>
      <c r="N1" s="64"/>
      <c r="O1" s="64"/>
    </row>
    <row r="2" spans="1:15" x14ac:dyDescent="0.2">
      <c r="A2" s="64"/>
      <c r="L2" s="3"/>
      <c r="O2" s="64"/>
    </row>
    <row r="3" spans="1:15" x14ac:dyDescent="0.2">
      <c r="A3" s="64"/>
      <c r="C3" s="58" t="s">
        <v>78</v>
      </c>
      <c r="D3" s="58"/>
      <c r="E3" s="58"/>
      <c r="F3" s="58"/>
      <c r="G3" s="58"/>
      <c r="H3" s="58"/>
      <c r="I3" s="58"/>
      <c r="J3" s="58"/>
      <c r="K3" s="66"/>
      <c r="L3" s="66"/>
      <c r="M3" s="90">
        <f ca="1">TODAY()</f>
        <v>43021</v>
      </c>
      <c r="O3" s="64"/>
    </row>
    <row r="4" spans="1:15" x14ac:dyDescent="0.2">
      <c r="A4" s="64"/>
      <c r="C4" s="148" t="str">
        <f>Tooltype</f>
        <v>Freshwater calculator tool</v>
      </c>
      <c r="L4" s="3"/>
      <c r="O4" s="64"/>
    </row>
    <row r="5" spans="1:15" x14ac:dyDescent="0.2">
      <c r="A5" s="64"/>
      <c r="L5" s="3"/>
      <c r="O5" s="64"/>
    </row>
    <row r="6" spans="1:15" x14ac:dyDescent="0.2">
      <c r="A6" s="64"/>
      <c r="C6" s="59" t="s">
        <v>79</v>
      </c>
      <c r="D6" s="91" t="str">
        <f>C_Compound_Name</f>
        <v>Copper</v>
      </c>
      <c r="L6" s="3"/>
      <c r="O6" s="64"/>
    </row>
    <row r="7" spans="1:15" x14ac:dyDescent="0.2">
      <c r="A7" s="64"/>
      <c r="C7" s="59" t="s">
        <v>80</v>
      </c>
      <c r="D7" s="91" t="str">
        <f>Version</f>
        <v>Version Final 1.1</v>
      </c>
      <c r="L7" s="3"/>
      <c r="O7" s="64"/>
    </row>
    <row r="8" spans="1:15" x14ac:dyDescent="0.2">
      <c r="A8" s="64"/>
      <c r="L8" s="3"/>
      <c r="O8" s="64"/>
    </row>
    <row r="9" spans="1:15" x14ac:dyDescent="0.2">
      <c r="A9" s="64"/>
      <c r="C9" s="176" t="s">
        <v>16</v>
      </c>
      <c r="D9" s="176"/>
      <c r="E9" s="176"/>
      <c r="F9" s="176"/>
      <c r="G9" s="176"/>
      <c r="L9" s="3"/>
      <c r="O9" s="64"/>
    </row>
    <row r="10" spans="1:15" x14ac:dyDescent="0.2">
      <c r="A10" s="64"/>
      <c r="C10" s="60"/>
      <c r="L10" s="3"/>
      <c r="O10" s="64"/>
    </row>
    <row r="11" spans="1:15" x14ac:dyDescent="0.2">
      <c r="A11" s="64"/>
      <c r="C11" s="175" t="s">
        <v>90</v>
      </c>
      <c r="D11" s="175"/>
      <c r="E11" s="175"/>
      <c r="F11" s="175"/>
      <c r="G11" s="175"/>
      <c r="L11" s="3"/>
      <c r="O11" s="64"/>
    </row>
    <row r="12" spans="1:15" x14ac:dyDescent="0.2">
      <c r="A12" s="64"/>
      <c r="C12" s="91" t="s">
        <v>67</v>
      </c>
      <c r="F12" s="91">
        <f>Application_Factor</f>
        <v>0.9</v>
      </c>
      <c r="L12" s="3"/>
      <c r="O12" s="64"/>
    </row>
    <row r="13" spans="1:15" x14ac:dyDescent="0.2">
      <c r="A13" s="64"/>
      <c r="C13" s="91" t="s">
        <v>89</v>
      </c>
      <c r="F13" s="154" t="e">
        <f>IF(ISBLANK(C_Average_biocide_release_over_the_lifetime_of_the_paint_M),C_User_Input!I30,C_Average_biocide_release_over_the_lifetime_of_the_paint_M)</f>
        <v>#DIV/0!</v>
      </c>
      <c r="L13" s="3"/>
      <c r="O13" s="64"/>
    </row>
    <row r="14" spans="1:15" x14ac:dyDescent="0.2">
      <c r="A14" s="64"/>
      <c r="L14" s="3"/>
      <c r="O14" s="64"/>
    </row>
    <row r="15" spans="1:15" x14ac:dyDescent="0.2">
      <c r="A15" s="64"/>
      <c r="C15" s="175" t="s">
        <v>58</v>
      </c>
      <c r="D15" s="175"/>
      <c r="E15" s="175"/>
      <c r="F15" s="175"/>
      <c r="G15" s="175"/>
      <c r="L15" s="3"/>
      <c r="O15" s="64"/>
    </row>
    <row r="16" spans="1:15" x14ac:dyDescent="0.2">
      <c r="A16" s="64"/>
      <c r="C16" s="177" t="s">
        <v>181</v>
      </c>
      <c r="D16" s="177"/>
      <c r="E16" s="177"/>
      <c r="F16" s="177"/>
      <c r="G16" s="155">
        <f>C_PNEC_Aquatic_Inside</f>
        <v>7.8</v>
      </c>
      <c r="L16" s="3"/>
      <c r="O16" s="64"/>
    </row>
    <row r="17" spans="1:23" x14ac:dyDescent="0.2">
      <c r="A17" s="64"/>
      <c r="C17" s="177" t="s">
        <v>180</v>
      </c>
      <c r="D17" s="177"/>
      <c r="E17" s="177"/>
      <c r="F17" s="177"/>
      <c r="G17" s="155">
        <f>C_PNEC_Sediment_Inside</f>
        <v>87</v>
      </c>
      <c r="L17" s="3"/>
      <c r="O17" s="64"/>
    </row>
    <row r="18" spans="1:23" x14ac:dyDescent="0.2">
      <c r="A18" s="64"/>
      <c r="C18" s="177" t="s">
        <v>179</v>
      </c>
      <c r="D18" s="177"/>
      <c r="E18" s="177"/>
      <c r="F18" s="177"/>
      <c r="G18" s="155">
        <f>C_PNEC_Aquatic_Surrounding</f>
        <v>7.8</v>
      </c>
      <c r="L18" s="3"/>
      <c r="O18" s="64"/>
    </row>
    <row r="19" spans="1:23" x14ac:dyDescent="0.2">
      <c r="A19" s="64"/>
      <c r="C19" s="177" t="s">
        <v>178</v>
      </c>
      <c r="D19" s="177"/>
      <c r="E19" s="177"/>
      <c r="F19" s="177"/>
      <c r="G19" s="155">
        <f>C_PNEC_Sediment_Surrounding</f>
        <v>87</v>
      </c>
      <c r="L19" s="3"/>
      <c r="O19" s="64"/>
    </row>
    <row r="20" spans="1:23" x14ac:dyDescent="0.2">
      <c r="A20" s="64"/>
      <c r="L20" s="3"/>
      <c r="O20" s="64"/>
    </row>
    <row r="21" spans="1:23" x14ac:dyDescent="0.2">
      <c r="A21" s="64"/>
      <c r="C21" s="175" t="s">
        <v>56</v>
      </c>
      <c r="D21" s="175"/>
      <c r="E21" s="175"/>
      <c r="F21" s="175"/>
      <c r="G21" s="175"/>
      <c r="L21" s="3"/>
      <c r="O21" s="64"/>
    </row>
    <row r="22" spans="1:23" ht="25.5" x14ac:dyDescent="0.2">
      <c r="A22" s="64"/>
      <c r="F22" s="135" t="s">
        <v>174</v>
      </c>
      <c r="G22" s="135" t="s">
        <v>175</v>
      </c>
      <c r="L22" s="3"/>
      <c r="O22" s="64"/>
    </row>
    <row r="23" spans="1:23" x14ac:dyDescent="0.2">
      <c r="A23" s="64"/>
      <c r="C23" s="91" t="s">
        <v>185</v>
      </c>
      <c r="F23" s="136">
        <f>C_Background_SW_Freshwater</f>
        <v>0</v>
      </c>
      <c r="G23" s="136">
        <f>C_Background_Sed_Freshwater</f>
        <v>0</v>
      </c>
      <c r="L23" s="3"/>
      <c r="O23" s="64"/>
    </row>
    <row r="24" spans="1:23" x14ac:dyDescent="0.2">
      <c r="A24" s="64"/>
      <c r="L24" s="3"/>
      <c r="O24" s="78"/>
      <c r="P24" s="70"/>
      <c r="Q24" s="70"/>
    </row>
    <row r="25" spans="1:23" x14ac:dyDescent="0.2">
      <c r="A25" s="64"/>
      <c r="L25" s="3"/>
      <c r="O25" s="78"/>
      <c r="P25" s="70"/>
      <c r="Q25" s="70"/>
    </row>
    <row r="26" spans="1:23" x14ac:dyDescent="0.2">
      <c r="A26" s="64"/>
      <c r="C26" s="60" t="s">
        <v>86</v>
      </c>
      <c r="L26" s="3"/>
      <c r="O26" s="78"/>
      <c r="P26" s="70"/>
      <c r="Q26" s="70"/>
    </row>
    <row r="27" spans="1:23" x14ac:dyDescent="0.2">
      <c r="A27" s="64"/>
      <c r="O27" s="78"/>
      <c r="P27" s="70"/>
      <c r="Q27" s="70"/>
    </row>
    <row r="28" spans="1:23" ht="80.099999999999994" customHeight="1" x14ac:dyDescent="0.2">
      <c r="A28" s="64"/>
      <c r="C28" s="178" t="s">
        <v>185</v>
      </c>
      <c r="D28" s="179"/>
      <c r="E28" s="180"/>
      <c r="F28" s="137" t="s">
        <v>219</v>
      </c>
      <c r="G28" s="137" t="s">
        <v>220</v>
      </c>
      <c r="H28" s="137" t="s">
        <v>221</v>
      </c>
      <c r="I28" s="137" t="s">
        <v>222</v>
      </c>
      <c r="J28" s="137" t="s">
        <v>60</v>
      </c>
      <c r="K28" s="137" t="s">
        <v>214</v>
      </c>
      <c r="L28" s="137" t="s">
        <v>215</v>
      </c>
      <c r="M28" s="137" t="s">
        <v>216</v>
      </c>
      <c r="N28" s="72"/>
      <c r="O28" s="79"/>
      <c r="P28" s="72"/>
      <c r="Q28" s="70"/>
      <c r="S28" s="70"/>
      <c r="T28" s="62"/>
      <c r="U28" s="62"/>
      <c r="V28" s="62"/>
      <c r="W28" s="62"/>
    </row>
    <row r="29" spans="1:23" x14ac:dyDescent="0.2">
      <c r="A29" s="64"/>
      <c r="C29" s="178" t="s">
        <v>85</v>
      </c>
      <c r="D29" s="179"/>
      <c r="E29" s="180"/>
      <c r="F29" s="138" t="e">
        <f>'C_Output_EU marinas'!F58</f>
        <v>#DIV/0!</v>
      </c>
      <c r="G29" s="138" t="e">
        <f>'C_Output_EU marinas'!G58</f>
        <v>#DIV/0!</v>
      </c>
      <c r="H29" s="138" t="e">
        <f>'C_Output_EU marinas'!H58</f>
        <v>#DIV/0!</v>
      </c>
      <c r="I29" s="138" t="e">
        <f>'C_Output_EU marinas'!I58</f>
        <v>#DIV/0!</v>
      </c>
      <c r="J29" s="138" t="e">
        <f>'C_Output_EU marinas'!J58</f>
        <v>#DIV/0!</v>
      </c>
      <c r="K29" s="138" t="e">
        <f>'C_Output_EU marinas'!K58</f>
        <v>#DIV/0!</v>
      </c>
      <c r="L29" s="138" t="e">
        <f>'C_Output_EU marinas'!L58</f>
        <v>#DIV/0!</v>
      </c>
      <c r="M29" s="138" t="e">
        <f>'C_Output_EU marinas'!M58</f>
        <v>#DIV/0!</v>
      </c>
      <c r="N29" s="70"/>
      <c r="O29" s="78"/>
      <c r="P29" s="70"/>
      <c r="Q29" s="70"/>
      <c r="R29" s="70"/>
      <c r="S29" s="70"/>
    </row>
    <row r="30" spans="1:23" ht="12.75" customHeight="1" x14ac:dyDescent="0.2">
      <c r="A30" s="64"/>
      <c r="C30" s="178" t="s">
        <v>14</v>
      </c>
      <c r="D30" s="179"/>
      <c r="E30" s="180"/>
      <c r="F30" s="138" t="e">
        <f>'C_Output_EU marinas'!F59</f>
        <v>#DIV/0!</v>
      </c>
      <c r="G30" s="138" t="e">
        <f>'C_Output_EU marinas'!G59</f>
        <v>#DIV/0!</v>
      </c>
      <c r="H30" s="138" t="e">
        <f>'C_Output_EU marinas'!H59</f>
        <v>#DIV/0!</v>
      </c>
      <c r="I30" s="138" t="e">
        <f>'C_Output_EU marinas'!I59</f>
        <v>#DIV/0!</v>
      </c>
      <c r="J30" s="138" t="e">
        <f>'C_Output_EU marinas'!J59</f>
        <v>#DIV/0!</v>
      </c>
      <c r="K30" s="138" t="e">
        <f>'C_Output_EU marinas'!K59</f>
        <v>#DIV/0!</v>
      </c>
      <c r="L30" s="138" t="e">
        <f>'C_Output_EU marinas'!L59</f>
        <v>#DIV/0!</v>
      </c>
      <c r="M30" s="138" t="e">
        <f>'C_Output_EU marinas'!M59</f>
        <v>#DIV/0!</v>
      </c>
      <c r="O30" s="64"/>
    </row>
    <row r="31" spans="1:23" x14ac:dyDescent="0.2">
      <c r="A31" s="64"/>
      <c r="C31" s="178" t="s">
        <v>15</v>
      </c>
      <c r="D31" s="179"/>
      <c r="E31" s="180"/>
      <c r="F31" s="138" t="e">
        <f>'C_Output_EU marinas'!F60</f>
        <v>#DIV/0!</v>
      </c>
      <c r="G31" s="138" t="e">
        <f>'C_Output_EU marinas'!G60</f>
        <v>#DIV/0!</v>
      </c>
      <c r="H31" s="138" t="e">
        <f>'C_Output_EU marinas'!H60</f>
        <v>#DIV/0!</v>
      </c>
      <c r="I31" s="138" t="e">
        <f>'C_Output_EU marinas'!I60</f>
        <v>#DIV/0!</v>
      </c>
      <c r="J31" s="138" t="e">
        <f>'C_Output_EU marinas'!J60</f>
        <v>#DIV/0!</v>
      </c>
      <c r="K31" s="138" t="e">
        <f>'C_Output_EU marinas'!K60</f>
        <v>#DIV/0!</v>
      </c>
      <c r="L31" s="138" t="e">
        <f>'C_Output_EU marinas'!L60</f>
        <v>#DIV/0!</v>
      </c>
      <c r="M31" s="138" t="e">
        <f>'C_Output_EU marinas'!M60</f>
        <v>#DIV/0!</v>
      </c>
      <c r="O31" s="64"/>
    </row>
    <row r="32" spans="1:23" x14ac:dyDescent="0.2">
      <c r="A32" s="64"/>
      <c r="C32" s="70"/>
      <c r="D32" s="70"/>
      <c r="E32" s="70"/>
      <c r="F32" s="70"/>
      <c r="G32" s="70"/>
      <c r="H32" s="70"/>
      <c r="I32" s="70"/>
      <c r="O32" s="64"/>
    </row>
    <row r="33" spans="1:26" x14ac:dyDescent="0.2">
      <c r="A33" s="64"/>
      <c r="B33" s="64"/>
      <c r="C33" s="65"/>
      <c r="D33" s="64"/>
      <c r="E33" s="64"/>
      <c r="F33" s="64"/>
      <c r="G33" s="64"/>
      <c r="H33" s="64"/>
      <c r="I33" s="64"/>
      <c r="J33" s="64"/>
      <c r="K33" s="64"/>
      <c r="L33" s="64"/>
      <c r="M33" s="64"/>
      <c r="N33" s="64"/>
      <c r="O33" s="64"/>
      <c r="Q33" s="71"/>
      <c r="R33" s="71"/>
      <c r="S33" s="70"/>
      <c r="T33" s="70"/>
      <c r="U33" s="70"/>
      <c r="V33" s="70"/>
      <c r="W33" s="70"/>
      <c r="X33" s="70"/>
      <c r="Y33" s="15"/>
      <c r="Z33" s="3"/>
    </row>
    <row r="34" spans="1:26" x14ac:dyDescent="0.2">
      <c r="A34" s="64"/>
      <c r="C34" s="60" t="s">
        <v>87</v>
      </c>
      <c r="O34" s="64"/>
    </row>
    <row r="35" spans="1:26" x14ac:dyDescent="0.2">
      <c r="A35" s="64"/>
      <c r="B35" s="91"/>
      <c r="O35" s="64"/>
    </row>
    <row r="36" spans="1:26" x14ac:dyDescent="0.2">
      <c r="A36" s="64"/>
      <c r="C36" s="80" t="s">
        <v>81</v>
      </c>
      <c r="D36" s="113"/>
      <c r="E36" s="113"/>
      <c r="F36" s="113"/>
      <c r="G36" s="113"/>
      <c r="H36" s="113"/>
      <c r="O36" s="64"/>
    </row>
    <row r="37" spans="1:26" ht="105.95" customHeight="1" x14ac:dyDescent="0.2">
      <c r="A37" s="64"/>
      <c r="B37" s="91"/>
      <c r="C37" s="61" t="s">
        <v>9</v>
      </c>
      <c r="D37" s="181" t="s">
        <v>10</v>
      </c>
      <c r="E37" s="182"/>
      <c r="F37" s="137" t="s">
        <v>219</v>
      </c>
      <c r="G37" s="137" t="s">
        <v>220</v>
      </c>
      <c r="H37" s="137" t="s">
        <v>221</v>
      </c>
      <c r="I37" s="137" t="s">
        <v>222</v>
      </c>
      <c r="O37" s="64"/>
    </row>
    <row r="38" spans="1:26" x14ac:dyDescent="0.2">
      <c r="A38" s="64"/>
      <c r="C38" s="140" t="s">
        <v>106</v>
      </c>
      <c r="D38" s="140" t="s">
        <v>107</v>
      </c>
      <c r="E38" s="140">
        <v>1</v>
      </c>
      <c r="F38" s="138" t="e">
        <f>'C_EU Marinas_Scenario_Calc'!K21</f>
        <v>#DIV/0!</v>
      </c>
      <c r="G38" s="138" t="e">
        <f>'C_EU Marinas_Scenario_Calc'!L21</f>
        <v>#DIV/0!</v>
      </c>
      <c r="H38" s="138" t="e">
        <f>'C_EU Marinas_Scenario_Calc'!M21</f>
        <v>#DIV/0!</v>
      </c>
      <c r="I38" s="138" t="e">
        <f>'C_EU Marinas_Scenario_Calc'!N21</f>
        <v>#DIV/0!</v>
      </c>
      <c r="O38" s="64"/>
    </row>
    <row r="39" spans="1:26" x14ac:dyDescent="0.2">
      <c r="A39" s="64"/>
      <c r="C39" s="140" t="s">
        <v>108</v>
      </c>
      <c r="D39" s="140" t="s">
        <v>107</v>
      </c>
      <c r="E39" s="140">
        <v>2</v>
      </c>
      <c r="F39" s="138" t="e">
        <f>'C_EU Marinas_Scenario_Calc'!K22</f>
        <v>#DIV/0!</v>
      </c>
      <c r="G39" s="138" t="e">
        <f>'C_EU Marinas_Scenario_Calc'!L22</f>
        <v>#DIV/0!</v>
      </c>
      <c r="H39" s="138" t="e">
        <f>'C_EU Marinas_Scenario_Calc'!M22</f>
        <v>#DIV/0!</v>
      </c>
      <c r="I39" s="138" t="e">
        <f>'C_EU Marinas_Scenario_Calc'!N22</f>
        <v>#DIV/0!</v>
      </c>
      <c r="O39" s="64"/>
    </row>
    <row r="40" spans="1:26" x14ac:dyDescent="0.2">
      <c r="A40" s="64"/>
      <c r="C40" s="140" t="s">
        <v>109</v>
      </c>
      <c r="D40" s="140" t="s">
        <v>107</v>
      </c>
      <c r="E40" s="140">
        <v>3</v>
      </c>
      <c r="F40" s="138" t="e">
        <f>'C_EU Marinas_Scenario_Calc'!K23</f>
        <v>#DIV/0!</v>
      </c>
      <c r="G40" s="138" t="e">
        <f>'C_EU Marinas_Scenario_Calc'!L23</f>
        <v>#DIV/0!</v>
      </c>
      <c r="H40" s="138" t="e">
        <f>'C_EU Marinas_Scenario_Calc'!M23</f>
        <v>#DIV/0!</v>
      </c>
      <c r="I40" s="138" t="e">
        <f>'C_EU Marinas_Scenario_Calc'!N23</f>
        <v>#DIV/0!</v>
      </c>
      <c r="O40" s="64"/>
    </row>
    <row r="41" spans="1:26" x14ac:dyDescent="0.2">
      <c r="A41" s="64"/>
      <c r="C41" s="140" t="s">
        <v>110</v>
      </c>
      <c r="D41" s="140" t="s">
        <v>107</v>
      </c>
      <c r="E41" s="140">
        <v>4</v>
      </c>
      <c r="F41" s="138" t="e">
        <f>'C_EU Marinas_Scenario_Calc'!K24</f>
        <v>#DIV/0!</v>
      </c>
      <c r="G41" s="138" t="e">
        <f>'C_EU Marinas_Scenario_Calc'!L24</f>
        <v>#DIV/0!</v>
      </c>
      <c r="H41" s="138" t="e">
        <f>'C_EU Marinas_Scenario_Calc'!M24</f>
        <v>#DIV/0!</v>
      </c>
      <c r="I41" s="138" t="e">
        <f>'C_EU Marinas_Scenario_Calc'!N24</f>
        <v>#DIV/0!</v>
      </c>
      <c r="O41" s="64"/>
    </row>
    <row r="42" spans="1:26" x14ac:dyDescent="0.2">
      <c r="A42" s="64"/>
      <c r="C42" s="140" t="s">
        <v>111</v>
      </c>
      <c r="D42" s="140" t="s">
        <v>107</v>
      </c>
      <c r="E42" s="140">
        <v>5</v>
      </c>
      <c r="F42" s="138" t="e">
        <f>'C_EU Marinas_Scenario_Calc'!K25</f>
        <v>#DIV/0!</v>
      </c>
      <c r="G42" s="138" t="e">
        <f>'C_EU Marinas_Scenario_Calc'!L25</f>
        <v>#DIV/0!</v>
      </c>
      <c r="H42" s="138" t="e">
        <f>'C_EU Marinas_Scenario_Calc'!M25</f>
        <v>#DIV/0!</v>
      </c>
      <c r="I42" s="138" t="e">
        <f>'C_EU Marinas_Scenario_Calc'!N25</f>
        <v>#DIV/0!</v>
      </c>
      <c r="O42" s="64"/>
    </row>
    <row r="43" spans="1:26" x14ac:dyDescent="0.2">
      <c r="A43" s="64"/>
      <c r="C43" s="140" t="s">
        <v>112</v>
      </c>
      <c r="D43" s="140" t="s">
        <v>107</v>
      </c>
      <c r="E43" s="140">
        <v>6</v>
      </c>
      <c r="F43" s="138" t="e">
        <f>'C_EU Marinas_Scenario_Calc'!K26</f>
        <v>#DIV/0!</v>
      </c>
      <c r="G43" s="138" t="e">
        <f>'C_EU Marinas_Scenario_Calc'!L26</f>
        <v>#DIV/0!</v>
      </c>
      <c r="H43" s="138" t="e">
        <f>'C_EU Marinas_Scenario_Calc'!M26</f>
        <v>#DIV/0!</v>
      </c>
      <c r="I43" s="138" t="e">
        <f>'C_EU Marinas_Scenario_Calc'!N26</f>
        <v>#DIV/0!</v>
      </c>
      <c r="O43" s="64"/>
    </row>
    <row r="44" spans="1:26" x14ac:dyDescent="0.2">
      <c r="A44" s="64"/>
      <c r="C44" s="140" t="s">
        <v>113</v>
      </c>
      <c r="D44" s="140" t="s">
        <v>107</v>
      </c>
      <c r="E44" s="140">
        <v>7</v>
      </c>
      <c r="F44" s="138" t="e">
        <f>'C_EU Marinas_Scenario_Calc'!K27</f>
        <v>#DIV/0!</v>
      </c>
      <c r="G44" s="138" t="e">
        <f>'C_EU Marinas_Scenario_Calc'!L27</f>
        <v>#DIV/0!</v>
      </c>
      <c r="H44" s="138" t="e">
        <f>'C_EU Marinas_Scenario_Calc'!M27</f>
        <v>#DIV/0!</v>
      </c>
      <c r="I44" s="138" t="e">
        <f>'C_EU Marinas_Scenario_Calc'!N27</f>
        <v>#DIV/0!</v>
      </c>
      <c r="O44" s="64"/>
    </row>
    <row r="45" spans="1:26" x14ac:dyDescent="0.2">
      <c r="A45" s="64"/>
      <c r="C45" s="140" t="s">
        <v>114</v>
      </c>
      <c r="D45" s="140" t="s">
        <v>115</v>
      </c>
      <c r="E45" s="140">
        <v>2</v>
      </c>
      <c r="F45" s="138" t="e">
        <f>'C_EU Marinas_Scenario_Calc'!K28</f>
        <v>#DIV/0!</v>
      </c>
      <c r="G45" s="138" t="e">
        <f>'C_EU Marinas_Scenario_Calc'!L28</f>
        <v>#DIV/0!</v>
      </c>
      <c r="H45" s="138" t="e">
        <f>'C_EU Marinas_Scenario_Calc'!M28</f>
        <v>#DIV/0!</v>
      </c>
      <c r="I45" s="138" t="e">
        <f>'C_EU Marinas_Scenario_Calc'!N28</f>
        <v>#DIV/0!</v>
      </c>
      <c r="O45" s="64"/>
    </row>
    <row r="46" spans="1:26" x14ac:dyDescent="0.2">
      <c r="A46" s="64"/>
      <c r="C46" s="140" t="s">
        <v>116</v>
      </c>
      <c r="D46" s="140" t="s">
        <v>115</v>
      </c>
      <c r="E46" s="140">
        <v>3</v>
      </c>
      <c r="F46" s="138" t="e">
        <f>'C_EU Marinas_Scenario_Calc'!K29</f>
        <v>#DIV/0!</v>
      </c>
      <c r="G46" s="138" t="e">
        <f>'C_EU Marinas_Scenario_Calc'!L29</f>
        <v>#DIV/0!</v>
      </c>
      <c r="H46" s="138" t="e">
        <f>'C_EU Marinas_Scenario_Calc'!M29</f>
        <v>#DIV/0!</v>
      </c>
      <c r="I46" s="138" t="e">
        <f>'C_EU Marinas_Scenario_Calc'!N29</f>
        <v>#DIV/0!</v>
      </c>
      <c r="O46" s="64"/>
    </row>
    <row r="47" spans="1:26" x14ac:dyDescent="0.2">
      <c r="A47" s="64"/>
      <c r="C47" s="140" t="s">
        <v>117</v>
      </c>
      <c r="D47" s="140" t="s">
        <v>115</v>
      </c>
      <c r="E47" s="140">
        <v>5</v>
      </c>
      <c r="F47" s="138" t="e">
        <f>'C_EU Marinas_Scenario_Calc'!K30</f>
        <v>#DIV/0!</v>
      </c>
      <c r="G47" s="138" t="e">
        <f>'C_EU Marinas_Scenario_Calc'!L30</f>
        <v>#DIV/0!</v>
      </c>
      <c r="H47" s="138" t="e">
        <f>'C_EU Marinas_Scenario_Calc'!M30</f>
        <v>#DIV/0!</v>
      </c>
      <c r="I47" s="138" t="e">
        <f>'C_EU Marinas_Scenario_Calc'!N30</f>
        <v>#DIV/0!</v>
      </c>
      <c r="O47" s="64"/>
    </row>
    <row r="48" spans="1:26" x14ac:dyDescent="0.2">
      <c r="A48" s="64"/>
      <c r="C48" s="140" t="s">
        <v>118</v>
      </c>
      <c r="D48" s="140" t="s">
        <v>115</v>
      </c>
      <c r="E48" s="140">
        <v>6</v>
      </c>
      <c r="F48" s="138" t="e">
        <f>'C_EU Marinas_Scenario_Calc'!K31</f>
        <v>#DIV/0!</v>
      </c>
      <c r="G48" s="138" t="e">
        <f>'C_EU Marinas_Scenario_Calc'!L31</f>
        <v>#DIV/0!</v>
      </c>
      <c r="H48" s="138" t="e">
        <f>'C_EU Marinas_Scenario_Calc'!M31</f>
        <v>#DIV/0!</v>
      </c>
      <c r="I48" s="138" t="e">
        <f>'C_EU Marinas_Scenario_Calc'!N31</f>
        <v>#DIV/0!</v>
      </c>
      <c r="O48" s="64"/>
    </row>
    <row r="49" spans="1:15" x14ac:dyDescent="0.2">
      <c r="A49" s="64"/>
      <c r="C49" s="140" t="s">
        <v>119</v>
      </c>
      <c r="D49" s="140" t="s">
        <v>115</v>
      </c>
      <c r="E49" s="140">
        <v>11</v>
      </c>
      <c r="F49" s="138" t="e">
        <f>'C_EU Marinas_Scenario_Calc'!K32</f>
        <v>#DIV/0!</v>
      </c>
      <c r="G49" s="138" t="e">
        <f>'C_EU Marinas_Scenario_Calc'!L32</f>
        <v>#DIV/0!</v>
      </c>
      <c r="H49" s="138" t="e">
        <f>'C_EU Marinas_Scenario_Calc'!M32</f>
        <v>#DIV/0!</v>
      </c>
      <c r="I49" s="138" t="e">
        <f>'C_EU Marinas_Scenario_Calc'!N32</f>
        <v>#DIV/0!</v>
      </c>
      <c r="O49" s="64"/>
    </row>
    <row r="50" spans="1:15" x14ac:dyDescent="0.2">
      <c r="A50" s="64"/>
      <c r="C50" s="140" t="s">
        <v>120</v>
      </c>
      <c r="D50" s="140" t="s">
        <v>115</v>
      </c>
      <c r="E50" s="140">
        <v>12</v>
      </c>
      <c r="F50" s="138" t="e">
        <f>'C_EU Marinas_Scenario_Calc'!K33</f>
        <v>#DIV/0!</v>
      </c>
      <c r="G50" s="138" t="e">
        <f>'C_EU Marinas_Scenario_Calc'!L33</f>
        <v>#DIV/0!</v>
      </c>
      <c r="H50" s="138" t="e">
        <f>'C_EU Marinas_Scenario_Calc'!M33</f>
        <v>#DIV/0!</v>
      </c>
      <c r="I50" s="138" t="e">
        <f>'C_EU Marinas_Scenario_Calc'!N33</f>
        <v>#DIV/0!</v>
      </c>
      <c r="O50" s="64"/>
    </row>
    <row r="51" spans="1:15" x14ac:dyDescent="0.2">
      <c r="A51" s="64"/>
      <c r="C51" s="140" t="s">
        <v>121</v>
      </c>
      <c r="D51" s="140" t="s">
        <v>12</v>
      </c>
      <c r="E51" s="140" t="s">
        <v>122</v>
      </c>
      <c r="F51" s="138" t="e">
        <f>'C_EU Marinas_Scenario_Calc'!K34</f>
        <v>#DIV/0!</v>
      </c>
      <c r="G51" s="138" t="e">
        <f>'C_EU Marinas_Scenario_Calc'!L34</f>
        <v>#DIV/0!</v>
      </c>
      <c r="H51" s="138" t="e">
        <f>'C_EU Marinas_Scenario_Calc'!M34</f>
        <v>#DIV/0!</v>
      </c>
      <c r="I51" s="138" t="e">
        <f>'C_EU Marinas_Scenario_Calc'!N34</f>
        <v>#DIV/0!</v>
      </c>
      <c r="O51" s="64"/>
    </row>
    <row r="52" spans="1:15" x14ac:dyDescent="0.2">
      <c r="A52" s="64"/>
      <c r="C52" s="140" t="s">
        <v>123</v>
      </c>
      <c r="D52" s="140" t="s">
        <v>12</v>
      </c>
      <c r="E52" s="140" t="s">
        <v>124</v>
      </c>
      <c r="F52" s="138" t="e">
        <f>'C_EU Marinas_Scenario_Calc'!K35</f>
        <v>#DIV/0!</v>
      </c>
      <c r="G52" s="138" t="e">
        <f>'C_EU Marinas_Scenario_Calc'!L35</f>
        <v>#DIV/0!</v>
      </c>
      <c r="H52" s="138" t="e">
        <f>'C_EU Marinas_Scenario_Calc'!M35</f>
        <v>#DIV/0!</v>
      </c>
      <c r="I52" s="138" t="e">
        <f>'C_EU Marinas_Scenario_Calc'!N35</f>
        <v>#DIV/0!</v>
      </c>
      <c r="O52" s="64"/>
    </row>
    <row r="53" spans="1:15" x14ac:dyDescent="0.2">
      <c r="A53" s="64"/>
      <c r="C53" s="140" t="s">
        <v>125</v>
      </c>
      <c r="D53" s="140" t="s">
        <v>12</v>
      </c>
      <c r="E53" s="140" t="s">
        <v>126</v>
      </c>
      <c r="F53" s="138" t="e">
        <f>'C_EU Marinas_Scenario_Calc'!K36</f>
        <v>#DIV/0!</v>
      </c>
      <c r="G53" s="138" t="e">
        <f>'C_EU Marinas_Scenario_Calc'!L36</f>
        <v>#DIV/0!</v>
      </c>
      <c r="H53" s="138" t="e">
        <f>'C_EU Marinas_Scenario_Calc'!M36</f>
        <v>#DIV/0!</v>
      </c>
      <c r="I53" s="138" t="e">
        <f>'C_EU Marinas_Scenario_Calc'!N36</f>
        <v>#DIV/0!</v>
      </c>
      <c r="O53" s="64"/>
    </row>
    <row r="54" spans="1:15" x14ac:dyDescent="0.2">
      <c r="A54" s="64"/>
      <c r="C54" s="140" t="s">
        <v>127</v>
      </c>
      <c r="D54" s="140" t="s">
        <v>12</v>
      </c>
      <c r="E54" s="140" t="s">
        <v>128</v>
      </c>
      <c r="F54" s="138" t="e">
        <f>'C_EU Marinas_Scenario_Calc'!K37</f>
        <v>#DIV/0!</v>
      </c>
      <c r="G54" s="138" t="e">
        <f>'C_EU Marinas_Scenario_Calc'!L37</f>
        <v>#DIV/0!</v>
      </c>
      <c r="H54" s="138" t="e">
        <f>'C_EU Marinas_Scenario_Calc'!M37</f>
        <v>#DIV/0!</v>
      </c>
      <c r="I54" s="138" t="e">
        <f>'C_EU Marinas_Scenario_Calc'!N37</f>
        <v>#DIV/0!</v>
      </c>
      <c r="O54" s="64"/>
    </row>
    <row r="55" spans="1:15" x14ac:dyDescent="0.2">
      <c r="A55" s="64"/>
      <c r="C55" s="140" t="s">
        <v>129</v>
      </c>
      <c r="D55" s="140" t="s">
        <v>12</v>
      </c>
      <c r="E55" s="140" t="s">
        <v>130</v>
      </c>
      <c r="F55" s="138" t="e">
        <f>'C_EU Marinas_Scenario_Calc'!K38</f>
        <v>#DIV/0!</v>
      </c>
      <c r="G55" s="138" t="e">
        <f>'C_EU Marinas_Scenario_Calc'!L38</f>
        <v>#DIV/0!</v>
      </c>
      <c r="H55" s="138" t="e">
        <f>'C_EU Marinas_Scenario_Calc'!M38</f>
        <v>#DIV/0!</v>
      </c>
      <c r="I55" s="138" t="e">
        <f>'C_EU Marinas_Scenario_Calc'!N38</f>
        <v>#DIV/0!</v>
      </c>
      <c r="O55" s="64"/>
    </row>
    <row r="56" spans="1:15" x14ac:dyDescent="0.2">
      <c r="A56" s="64"/>
      <c r="C56" s="140" t="s">
        <v>131</v>
      </c>
      <c r="D56" s="140" t="s">
        <v>12</v>
      </c>
      <c r="E56" s="140" t="s">
        <v>132</v>
      </c>
      <c r="F56" s="138" t="e">
        <f>'C_EU Marinas_Scenario_Calc'!K39</f>
        <v>#DIV/0!</v>
      </c>
      <c r="G56" s="138" t="e">
        <f>'C_EU Marinas_Scenario_Calc'!L39</f>
        <v>#DIV/0!</v>
      </c>
      <c r="H56" s="138" t="e">
        <f>'C_EU Marinas_Scenario_Calc'!M39</f>
        <v>#DIV/0!</v>
      </c>
      <c r="I56" s="138" t="e">
        <f>'C_EU Marinas_Scenario_Calc'!N39</f>
        <v>#DIV/0!</v>
      </c>
      <c r="O56" s="64"/>
    </row>
    <row r="57" spans="1:15" x14ac:dyDescent="0.2">
      <c r="A57" s="64"/>
      <c r="C57" s="140" t="s">
        <v>133</v>
      </c>
      <c r="D57" s="140" t="s">
        <v>12</v>
      </c>
      <c r="E57" s="140" t="s">
        <v>134</v>
      </c>
      <c r="F57" s="138" t="e">
        <f>'C_EU Marinas_Scenario_Calc'!K40</f>
        <v>#DIV/0!</v>
      </c>
      <c r="G57" s="138" t="e">
        <f>'C_EU Marinas_Scenario_Calc'!L40</f>
        <v>#DIV/0!</v>
      </c>
      <c r="H57" s="138" t="e">
        <f>'C_EU Marinas_Scenario_Calc'!M40</f>
        <v>#DIV/0!</v>
      </c>
      <c r="I57" s="138" t="e">
        <f>'C_EU Marinas_Scenario_Calc'!N40</f>
        <v>#DIV/0!</v>
      </c>
      <c r="O57" s="64"/>
    </row>
    <row r="58" spans="1:15" x14ac:dyDescent="0.2">
      <c r="A58" s="64"/>
      <c r="C58" s="140" t="s">
        <v>135</v>
      </c>
      <c r="D58" s="140" t="s">
        <v>12</v>
      </c>
      <c r="E58" s="140" t="s">
        <v>136</v>
      </c>
      <c r="F58" s="138" t="e">
        <f>'C_EU Marinas_Scenario_Calc'!K41</f>
        <v>#DIV/0!</v>
      </c>
      <c r="G58" s="138" t="e">
        <f>'C_EU Marinas_Scenario_Calc'!L41</f>
        <v>#DIV/0!</v>
      </c>
      <c r="H58" s="138" t="e">
        <f>'C_EU Marinas_Scenario_Calc'!M41</f>
        <v>#DIV/0!</v>
      </c>
      <c r="I58" s="138" t="e">
        <f>'C_EU Marinas_Scenario_Calc'!N41</f>
        <v>#DIV/0!</v>
      </c>
      <c r="O58" s="64"/>
    </row>
    <row r="59" spans="1:15" x14ac:dyDescent="0.2">
      <c r="A59" s="64"/>
      <c r="C59" s="140" t="s">
        <v>137</v>
      </c>
      <c r="D59" s="140" t="s">
        <v>12</v>
      </c>
      <c r="E59" s="140" t="s">
        <v>138</v>
      </c>
      <c r="F59" s="138" t="e">
        <f>'C_EU Marinas_Scenario_Calc'!K42</f>
        <v>#DIV/0!</v>
      </c>
      <c r="G59" s="138" t="e">
        <f>'C_EU Marinas_Scenario_Calc'!L42</f>
        <v>#DIV/0!</v>
      </c>
      <c r="H59" s="138" t="e">
        <f>'C_EU Marinas_Scenario_Calc'!M42</f>
        <v>#DIV/0!</v>
      </c>
      <c r="I59" s="138" t="e">
        <f>'C_EU Marinas_Scenario_Calc'!N42</f>
        <v>#DIV/0!</v>
      </c>
      <c r="O59" s="64"/>
    </row>
    <row r="60" spans="1:15" x14ac:dyDescent="0.2">
      <c r="A60" s="64"/>
      <c r="C60" s="140" t="s">
        <v>139</v>
      </c>
      <c r="D60" s="140" t="s">
        <v>12</v>
      </c>
      <c r="E60" s="140" t="s">
        <v>140</v>
      </c>
      <c r="F60" s="138" t="e">
        <f>'C_EU Marinas_Scenario_Calc'!K43</f>
        <v>#DIV/0!</v>
      </c>
      <c r="G60" s="138" t="e">
        <f>'C_EU Marinas_Scenario_Calc'!L43</f>
        <v>#DIV/0!</v>
      </c>
      <c r="H60" s="138" t="e">
        <f>'C_EU Marinas_Scenario_Calc'!M43</f>
        <v>#DIV/0!</v>
      </c>
      <c r="I60" s="138" t="e">
        <f>'C_EU Marinas_Scenario_Calc'!N43</f>
        <v>#DIV/0!</v>
      </c>
      <c r="O60" s="64"/>
    </row>
    <row r="61" spans="1:15" x14ac:dyDescent="0.2">
      <c r="A61" s="64"/>
      <c r="C61" s="140" t="s">
        <v>141</v>
      </c>
      <c r="D61" s="140" t="s">
        <v>13</v>
      </c>
      <c r="E61" s="140">
        <v>1</v>
      </c>
      <c r="F61" s="138" t="e">
        <f>'C_EU Marinas_Scenario_Calc'!K44</f>
        <v>#DIV/0!</v>
      </c>
      <c r="G61" s="138" t="e">
        <f>'C_EU Marinas_Scenario_Calc'!L44</f>
        <v>#DIV/0!</v>
      </c>
      <c r="H61" s="138" t="e">
        <f>'C_EU Marinas_Scenario_Calc'!M44</f>
        <v>#DIV/0!</v>
      </c>
      <c r="I61" s="138" t="e">
        <f>'C_EU Marinas_Scenario_Calc'!N44</f>
        <v>#DIV/0!</v>
      </c>
      <c r="O61" s="64"/>
    </row>
    <row r="62" spans="1:15" x14ac:dyDescent="0.2">
      <c r="A62" s="64"/>
      <c r="C62" s="140" t="s">
        <v>142</v>
      </c>
      <c r="D62" s="140" t="s">
        <v>13</v>
      </c>
      <c r="E62" s="140">
        <v>3</v>
      </c>
      <c r="F62" s="138" t="e">
        <f>'C_EU Marinas_Scenario_Calc'!K45</f>
        <v>#DIV/0!</v>
      </c>
      <c r="G62" s="138" t="e">
        <f>'C_EU Marinas_Scenario_Calc'!L45</f>
        <v>#DIV/0!</v>
      </c>
      <c r="H62" s="138" t="e">
        <f>'C_EU Marinas_Scenario_Calc'!M45</f>
        <v>#DIV/0!</v>
      </c>
      <c r="I62" s="138" t="e">
        <f>'C_EU Marinas_Scenario_Calc'!N45</f>
        <v>#DIV/0!</v>
      </c>
      <c r="O62" s="64"/>
    </row>
    <row r="63" spans="1:15" x14ac:dyDescent="0.2">
      <c r="A63" s="64"/>
      <c r="C63" s="140" t="s">
        <v>143</v>
      </c>
      <c r="D63" s="140" t="s">
        <v>13</v>
      </c>
      <c r="E63" s="140">
        <v>4</v>
      </c>
      <c r="F63" s="138" t="e">
        <f>'C_EU Marinas_Scenario_Calc'!K46</f>
        <v>#DIV/0!</v>
      </c>
      <c r="G63" s="138" t="e">
        <f>'C_EU Marinas_Scenario_Calc'!L46</f>
        <v>#DIV/0!</v>
      </c>
      <c r="H63" s="138" t="e">
        <f>'C_EU Marinas_Scenario_Calc'!M46</f>
        <v>#DIV/0!</v>
      </c>
      <c r="I63" s="138" t="e">
        <f>'C_EU Marinas_Scenario_Calc'!N46</f>
        <v>#DIV/0!</v>
      </c>
      <c r="O63" s="64"/>
    </row>
    <row r="64" spans="1:15" x14ac:dyDescent="0.2">
      <c r="A64" s="64"/>
      <c r="C64" s="140" t="s">
        <v>144</v>
      </c>
      <c r="D64" s="140" t="s">
        <v>13</v>
      </c>
      <c r="E64" s="140">
        <v>6</v>
      </c>
      <c r="F64" s="138" t="e">
        <f>'C_EU Marinas_Scenario_Calc'!K47</f>
        <v>#DIV/0!</v>
      </c>
      <c r="G64" s="138" t="e">
        <f>'C_EU Marinas_Scenario_Calc'!L47</f>
        <v>#DIV/0!</v>
      </c>
      <c r="H64" s="138" t="e">
        <f>'C_EU Marinas_Scenario_Calc'!M47</f>
        <v>#DIV/0!</v>
      </c>
      <c r="I64" s="138" t="e">
        <f>'C_EU Marinas_Scenario_Calc'!N47</f>
        <v>#DIV/0!</v>
      </c>
      <c r="O64" s="64"/>
    </row>
    <row r="65" spans="1:15" x14ac:dyDescent="0.2">
      <c r="A65" s="64"/>
      <c r="C65" s="140" t="s">
        <v>145</v>
      </c>
      <c r="D65" s="140" t="s">
        <v>13</v>
      </c>
      <c r="E65" s="140">
        <v>7</v>
      </c>
      <c r="F65" s="138" t="e">
        <f>'C_EU Marinas_Scenario_Calc'!K48</f>
        <v>#DIV/0!</v>
      </c>
      <c r="G65" s="138" t="e">
        <f>'C_EU Marinas_Scenario_Calc'!L48</f>
        <v>#DIV/0!</v>
      </c>
      <c r="H65" s="138" t="e">
        <f>'C_EU Marinas_Scenario_Calc'!M48</f>
        <v>#DIV/0!</v>
      </c>
      <c r="I65" s="138" t="e">
        <f>'C_EU Marinas_Scenario_Calc'!N48</f>
        <v>#DIV/0!</v>
      </c>
      <c r="O65" s="64"/>
    </row>
    <row r="66" spans="1:15" x14ac:dyDescent="0.2">
      <c r="A66" s="64"/>
      <c r="C66" s="140" t="s">
        <v>146</v>
      </c>
      <c r="D66" s="140" t="s">
        <v>13</v>
      </c>
      <c r="E66" s="140">
        <v>8</v>
      </c>
      <c r="F66" s="138" t="e">
        <f>'C_EU Marinas_Scenario_Calc'!K49</f>
        <v>#DIV/0!</v>
      </c>
      <c r="G66" s="138" t="e">
        <f>'C_EU Marinas_Scenario_Calc'!L49</f>
        <v>#DIV/0!</v>
      </c>
      <c r="H66" s="138" t="e">
        <f>'C_EU Marinas_Scenario_Calc'!M49</f>
        <v>#DIV/0!</v>
      </c>
      <c r="I66" s="138" t="e">
        <f>'C_EU Marinas_Scenario_Calc'!N49</f>
        <v>#DIV/0!</v>
      </c>
      <c r="O66" s="64"/>
    </row>
    <row r="67" spans="1:15" x14ac:dyDescent="0.2">
      <c r="A67" s="64"/>
      <c r="C67" s="140" t="s">
        <v>147</v>
      </c>
      <c r="D67" s="140" t="s">
        <v>13</v>
      </c>
      <c r="E67" s="140">
        <v>14</v>
      </c>
      <c r="F67" s="138" t="e">
        <f>'C_EU Marinas_Scenario_Calc'!K50</f>
        <v>#DIV/0!</v>
      </c>
      <c r="G67" s="138" t="e">
        <f>'C_EU Marinas_Scenario_Calc'!L50</f>
        <v>#DIV/0!</v>
      </c>
      <c r="H67" s="138" t="e">
        <f>'C_EU Marinas_Scenario_Calc'!M50</f>
        <v>#DIV/0!</v>
      </c>
      <c r="I67" s="138" t="e">
        <f>'C_EU Marinas_Scenario_Calc'!N50</f>
        <v>#DIV/0!</v>
      </c>
      <c r="O67" s="64"/>
    </row>
    <row r="68" spans="1:15" x14ac:dyDescent="0.2">
      <c r="A68" s="64"/>
      <c r="C68" s="140" t="s">
        <v>148</v>
      </c>
      <c r="D68" s="140" t="s">
        <v>13</v>
      </c>
      <c r="E68" s="140">
        <v>17</v>
      </c>
      <c r="F68" s="138" t="e">
        <f>'C_EU Marinas_Scenario_Calc'!K51</f>
        <v>#DIV/0!</v>
      </c>
      <c r="G68" s="138" t="e">
        <f>'C_EU Marinas_Scenario_Calc'!L51</f>
        <v>#DIV/0!</v>
      </c>
      <c r="H68" s="138" t="e">
        <f>'C_EU Marinas_Scenario_Calc'!M51</f>
        <v>#DIV/0!</v>
      </c>
      <c r="I68" s="138" t="e">
        <f>'C_EU Marinas_Scenario_Calc'!N51</f>
        <v>#DIV/0!</v>
      </c>
      <c r="O68" s="64"/>
    </row>
    <row r="69" spans="1:15" x14ac:dyDescent="0.2">
      <c r="A69" s="64"/>
      <c r="C69" s="140" t="s">
        <v>149</v>
      </c>
      <c r="D69" s="140" t="s">
        <v>13</v>
      </c>
      <c r="E69" s="140">
        <v>21</v>
      </c>
      <c r="F69" s="138" t="e">
        <f>'C_EU Marinas_Scenario_Calc'!K52</f>
        <v>#DIV/0!</v>
      </c>
      <c r="G69" s="138" t="e">
        <f>'C_EU Marinas_Scenario_Calc'!L52</f>
        <v>#DIV/0!</v>
      </c>
      <c r="H69" s="138" t="e">
        <f>'C_EU Marinas_Scenario_Calc'!M52</f>
        <v>#DIV/0!</v>
      </c>
      <c r="I69" s="138" t="e">
        <f>'C_EU Marinas_Scenario_Calc'!N52</f>
        <v>#DIV/0!</v>
      </c>
      <c r="O69" s="64"/>
    </row>
    <row r="70" spans="1:15" x14ac:dyDescent="0.2">
      <c r="A70" s="64"/>
      <c r="C70" s="140" t="s">
        <v>150</v>
      </c>
      <c r="D70" s="140" t="s">
        <v>13</v>
      </c>
      <c r="E70" s="140">
        <v>26</v>
      </c>
      <c r="F70" s="138" t="e">
        <f>'C_EU Marinas_Scenario_Calc'!K53</f>
        <v>#DIV/0!</v>
      </c>
      <c r="G70" s="138" t="e">
        <f>'C_EU Marinas_Scenario_Calc'!L53</f>
        <v>#DIV/0!</v>
      </c>
      <c r="H70" s="138" t="e">
        <f>'C_EU Marinas_Scenario_Calc'!M53</f>
        <v>#DIV/0!</v>
      </c>
      <c r="I70" s="138" t="e">
        <f>'C_EU Marinas_Scenario_Calc'!N53</f>
        <v>#DIV/0!</v>
      </c>
      <c r="O70" s="64"/>
    </row>
    <row r="71" spans="1:15" x14ac:dyDescent="0.2">
      <c r="A71" s="64"/>
      <c r="C71" s="140" t="s">
        <v>151</v>
      </c>
      <c r="D71" s="140" t="s">
        <v>13</v>
      </c>
      <c r="E71" s="140">
        <v>30</v>
      </c>
      <c r="F71" s="138" t="e">
        <f>'C_EU Marinas_Scenario_Calc'!K54</f>
        <v>#DIV/0!</v>
      </c>
      <c r="G71" s="138" t="e">
        <f>'C_EU Marinas_Scenario_Calc'!L54</f>
        <v>#DIV/0!</v>
      </c>
      <c r="H71" s="138" t="e">
        <f>'C_EU Marinas_Scenario_Calc'!M54</f>
        <v>#DIV/0!</v>
      </c>
      <c r="I71" s="138" t="e">
        <f>'C_EU Marinas_Scenario_Calc'!N54</f>
        <v>#DIV/0!</v>
      </c>
      <c r="O71" s="64"/>
    </row>
    <row r="72" spans="1:15" x14ac:dyDescent="0.2">
      <c r="A72" s="64"/>
      <c r="C72" s="140" t="s">
        <v>152</v>
      </c>
      <c r="D72" s="140" t="s">
        <v>13</v>
      </c>
      <c r="E72" s="140">
        <v>34</v>
      </c>
      <c r="F72" s="138" t="e">
        <f>'C_EU Marinas_Scenario_Calc'!K55</f>
        <v>#DIV/0!</v>
      </c>
      <c r="G72" s="138" t="e">
        <f>'C_EU Marinas_Scenario_Calc'!L55</f>
        <v>#DIV/0!</v>
      </c>
      <c r="H72" s="138" t="e">
        <f>'C_EU Marinas_Scenario_Calc'!M55</f>
        <v>#DIV/0!</v>
      </c>
      <c r="I72" s="138" t="e">
        <f>'C_EU Marinas_Scenario_Calc'!N55</f>
        <v>#DIV/0!</v>
      </c>
      <c r="O72" s="64"/>
    </row>
    <row r="73" spans="1:15" x14ac:dyDescent="0.2">
      <c r="A73" s="64"/>
      <c r="C73" s="140" t="s">
        <v>153</v>
      </c>
      <c r="D73" s="140" t="s">
        <v>13</v>
      </c>
      <c r="E73" s="140">
        <v>40</v>
      </c>
      <c r="F73" s="138" t="e">
        <f>'C_EU Marinas_Scenario_Calc'!K56</f>
        <v>#DIV/0!</v>
      </c>
      <c r="G73" s="138" t="e">
        <f>'C_EU Marinas_Scenario_Calc'!L56</f>
        <v>#DIV/0!</v>
      </c>
      <c r="H73" s="138" t="e">
        <f>'C_EU Marinas_Scenario_Calc'!M56</f>
        <v>#DIV/0!</v>
      </c>
      <c r="I73" s="138" t="e">
        <f>'C_EU Marinas_Scenario_Calc'!N56</f>
        <v>#DIV/0!</v>
      </c>
      <c r="O73" s="64"/>
    </row>
    <row r="74" spans="1:15" x14ac:dyDescent="0.2">
      <c r="A74" s="64"/>
      <c r="C74" s="140" t="s">
        <v>154</v>
      </c>
      <c r="D74" s="140" t="s">
        <v>13</v>
      </c>
      <c r="E74" s="140">
        <v>42</v>
      </c>
      <c r="F74" s="138" t="e">
        <f>'C_EU Marinas_Scenario_Calc'!K57</f>
        <v>#DIV/0!</v>
      </c>
      <c r="G74" s="138" t="e">
        <f>'C_EU Marinas_Scenario_Calc'!L57</f>
        <v>#DIV/0!</v>
      </c>
      <c r="H74" s="138" t="e">
        <f>'C_EU Marinas_Scenario_Calc'!M57</f>
        <v>#DIV/0!</v>
      </c>
      <c r="I74" s="138" t="e">
        <f>'C_EU Marinas_Scenario_Calc'!N57</f>
        <v>#DIV/0!</v>
      </c>
      <c r="O74" s="64"/>
    </row>
    <row r="75" spans="1:15" x14ac:dyDescent="0.2">
      <c r="A75" s="64"/>
      <c r="C75" s="140" t="s">
        <v>155</v>
      </c>
      <c r="D75" s="140" t="s">
        <v>13</v>
      </c>
      <c r="E75" s="140">
        <v>44</v>
      </c>
      <c r="F75" s="138" t="e">
        <f>'C_EU Marinas_Scenario_Calc'!K58</f>
        <v>#DIV/0!</v>
      </c>
      <c r="G75" s="138" t="e">
        <f>'C_EU Marinas_Scenario_Calc'!L58</f>
        <v>#DIV/0!</v>
      </c>
      <c r="H75" s="138" t="e">
        <f>'C_EU Marinas_Scenario_Calc'!M58</f>
        <v>#DIV/0!</v>
      </c>
      <c r="I75" s="138" t="e">
        <f>'C_EU Marinas_Scenario_Calc'!N58</f>
        <v>#DIV/0!</v>
      </c>
      <c r="O75" s="64"/>
    </row>
    <row r="76" spans="1:15" x14ac:dyDescent="0.2">
      <c r="A76" s="64"/>
      <c r="C76" s="140" t="s">
        <v>156</v>
      </c>
      <c r="D76" s="140" t="s">
        <v>13</v>
      </c>
      <c r="E76" s="140">
        <v>45</v>
      </c>
      <c r="F76" s="138" t="e">
        <f>'C_EU Marinas_Scenario_Calc'!K59</f>
        <v>#DIV/0!</v>
      </c>
      <c r="G76" s="138" t="e">
        <f>'C_EU Marinas_Scenario_Calc'!L59</f>
        <v>#DIV/0!</v>
      </c>
      <c r="H76" s="138" t="e">
        <f>'C_EU Marinas_Scenario_Calc'!M59</f>
        <v>#DIV/0!</v>
      </c>
      <c r="I76" s="138" t="e">
        <f>'C_EU Marinas_Scenario_Calc'!N59</f>
        <v>#DIV/0!</v>
      </c>
      <c r="O76" s="64"/>
    </row>
    <row r="77" spans="1:15" x14ac:dyDescent="0.2">
      <c r="A77" s="64"/>
      <c r="C77" s="140" t="s">
        <v>157</v>
      </c>
      <c r="D77" s="140" t="s">
        <v>13</v>
      </c>
      <c r="E77" s="140">
        <v>46</v>
      </c>
      <c r="F77" s="138" t="e">
        <f>'C_EU Marinas_Scenario_Calc'!K60</f>
        <v>#DIV/0!</v>
      </c>
      <c r="G77" s="138" t="e">
        <f>'C_EU Marinas_Scenario_Calc'!L60</f>
        <v>#DIV/0!</v>
      </c>
      <c r="H77" s="138" t="e">
        <f>'C_EU Marinas_Scenario_Calc'!M60</f>
        <v>#DIV/0!</v>
      </c>
      <c r="I77" s="138" t="e">
        <f>'C_EU Marinas_Scenario_Calc'!N60</f>
        <v>#DIV/0!</v>
      </c>
      <c r="O77" s="64"/>
    </row>
    <row r="78" spans="1:15" x14ac:dyDescent="0.2">
      <c r="A78" s="64"/>
      <c r="C78" s="140" t="s">
        <v>158</v>
      </c>
      <c r="D78" s="140" t="s">
        <v>13</v>
      </c>
      <c r="E78" s="140">
        <v>48</v>
      </c>
      <c r="F78" s="138" t="e">
        <f>'C_EU Marinas_Scenario_Calc'!K61</f>
        <v>#DIV/0!</v>
      </c>
      <c r="G78" s="138" t="e">
        <f>'C_EU Marinas_Scenario_Calc'!L61</f>
        <v>#DIV/0!</v>
      </c>
      <c r="H78" s="138" t="e">
        <f>'C_EU Marinas_Scenario_Calc'!M61</f>
        <v>#DIV/0!</v>
      </c>
      <c r="I78" s="138" t="e">
        <f>'C_EU Marinas_Scenario_Calc'!N61</f>
        <v>#DIV/0!</v>
      </c>
      <c r="O78" s="64"/>
    </row>
    <row r="79" spans="1:15" x14ac:dyDescent="0.2">
      <c r="A79" s="64"/>
      <c r="C79" s="140" t="s">
        <v>159</v>
      </c>
      <c r="D79" s="140" t="s">
        <v>160</v>
      </c>
      <c r="E79" s="140">
        <v>1</v>
      </c>
      <c r="F79" s="138" t="e">
        <f>'C_EU Marinas_Scenario_Calc'!K62</f>
        <v>#DIV/0!</v>
      </c>
      <c r="G79" s="138" t="e">
        <f>'C_EU Marinas_Scenario_Calc'!L62</f>
        <v>#DIV/0!</v>
      </c>
      <c r="H79" s="138" t="e">
        <f>'C_EU Marinas_Scenario_Calc'!M62</f>
        <v>#DIV/0!</v>
      </c>
      <c r="I79" s="138" t="e">
        <f>'C_EU Marinas_Scenario_Calc'!N62</f>
        <v>#DIV/0!</v>
      </c>
      <c r="O79" s="64"/>
    </row>
    <row r="80" spans="1:15" x14ac:dyDescent="0.2">
      <c r="A80" s="64"/>
      <c r="C80" s="140" t="s">
        <v>161</v>
      </c>
      <c r="D80" s="140" t="s">
        <v>160</v>
      </c>
      <c r="E80" s="140">
        <v>2</v>
      </c>
      <c r="F80" s="138" t="e">
        <f>'C_EU Marinas_Scenario_Calc'!K63</f>
        <v>#DIV/0!</v>
      </c>
      <c r="G80" s="138" t="e">
        <f>'C_EU Marinas_Scenario_Calc'!L63</f>
        <v>#DIV/0!</v>
      </c>
      <c r="H80" s="138" t="e">
        <f>'C_EU Marinas_Scenario_Calc'!M63</f>
        <v>#DIV/0!</v>
      </c>
      <c r="I80" s="138" t="e">
        <f>'C_EU Marinas_Scenario_Calc'!N63</f>
        <v>#DIV/0!</v>
      </c>
      <c r="O80" s="64"/>
    </row>
    <row r="81" spans="1:15" x14ac:dyDescent="0.2">
      <c r="A81" s="64"/>
      <c r="C81" s="140" t="s">
        <v>162</v>
      </c>
      <c r="D81" s="140" t="s">
        <v>160</v>
      </c>
      <c r="E81" s="140">
        <v>3</v>
      </c>
      <c r="F81" s="138" t="e">
        <f>'C_EU Marinas_Scenario_Calc'!K64</f>
        <v>#DIV/0!</v>
      </c>
      <c r="G81" s="138" t="e">
        <f>'C_EU Marinas_Scenario_Calc'!L64</f>
        <v>#DIV/0!</v>
      </c>
      <c r="H81" s="138" t="e">
        <f>'C_EU Marinas_Scenario_Calc'!M64</f>
        <v>#DIV/0!</v>
      </c>
      <c r="I81" s="138" t="e">
        <f>'C_EU Marinas_Scenario_Calc'!N64</f>
        <v>#DIV/0!</v>
      </c>
      <c r="O81" s="64"/>
    </row>
    <row r="82" spans="1:15" x14ac:dyDescent="0.2">
      <c r="A82" s="64"/>
      <c r="C82" s="140" t="s">
        <v>163</v>
      </c>
      <c r="D82" s="140" t="s">
        <v>160</v>
      </c>
      <c r="E82" s="140">
        <v>4</v>
      </c>
      <c r="F82" s="138" t="e">
        <f>'C_EU Marinas_Scenario_Calc'!K65</f>
        <v>#DIV/0!</v>
      </c>
      <c r="G82" s="138" t="e">
        <f>'C_EU Marinas_Scenario_Calc'!L65</f>
        <v>#DIV/0!</v>
      </c>
      <c r="H82" s="138" t="e">
        <f>'C_EU Marinas_Scenario_Calc'!M65</f>
        <v>#DIV/0!</v>
      </c>
      <c r="I82" s="138" t="e">
        <f>'C_EU Marinas_Scenario_Calc'!N65</f>
        <v>#DIV/0!</v>
      </c>
      <c r="O82" s="64"/>
    </row>
    <row r="83" spans="1:15" x14ac:dyDescent="0.2">
      <c r="A83" s="64"/>
      <c r="C83" s="140" t="s">
        <v>164</v>
      </c>
      <c r="D83" s="140" t="s">
        <v>160</v>
      </c>
      <c r="E83" s="140">
        <v>5</v>
      </c>
      <c r="F83" s="138" t="e">
        <f>'C_EU Marinas_Scenario_Calc'!K66</f>
        <v>#DIV/0!</v>
      </c>
      <c r="G83" s="138" t="e">
        <f>'C_EU Marinas_Scenario_Calc'!L66</f>
        <v>#DIV/0!</v>
      </c>
      <c r="H83" s="138" t="e">
        <f>'C_EU Marinas_Scenario_Calc'!M66</f>
        <v>#DIV/0!</v>
      </c>
      <c r="I83" s="138" t="e">
        <f>'C_EU Marinas_Scenario_Calc'!N66</f>
        <v>#DIV/0!</v>
      </c>
      <c r="O83" s="64"/>
    </row>
    <row r="84" spans="1:15" x14ac:dyDescent="0.2">
      <c r="A84" s="64"/>
      <c r="C84" s="184" t="s">
        <v>172</v>
      </c>
      <c r="D84" s="185"/>
      <c r="E84" s="186"/>
      <c r="F84" s="138" t="e">
        <f>'C_Regulatory_ Marinas_Calc'!I21</f>
        <v>#DIV/0!</v>
      </c>
      <c r="G84" s="138" t="e">
        <f>'C_Regulatory_ Marinas_Calc'!J21</f>
        <v>#DIV/0!</v>
      </c>
      <c r="H84" s="138" t="e">
        <f>'C_Regulatory_ Marinas_Calc'!K21</f>
        <v>#DIV/0!</v>
      </c>
      <c r="I84" s="138" t="e">
        <f>'C_Regulatory_ Marinas_Calc'!L21</f>
        <v>#DIV/0!</v>
      </c>
      <c r="O84" s="64"/>
    </row>
    <row r="85" spans="1:15" x14ac:dyDescent="0.2">
      <c r="A85" s="64"/>
      <c r="C85" s="187" t="s">
        <v>173</v>
      </c>
      <c r="D85" s="188"/>
      <c r="E85" s="189"/>
      <c r="F85" s="138" t="e">
        <f>'C_Regulatory_ Marinas_Calc'!I22</f>
        <v>#DIV/0!</v>
      </c>
      <c r="G85" s="138" t="e">
        <f>'C_Regulatory_ Marinas_Calc'!J22</f>
        <v>#DIV/0!</v>
      </c>
      <c r="H85" s="138" t="e">
        <f>'C_Regulatory_ Marinas_Calc'!K22</f>
        <v>#DIV/0!</v>
      </c>
      <c r="I85" s="138" t="e">
        <f>'C_Regulatory_ Marinas_Calc'!L22</f>
        <v>#DIV/0!</v>
      </c>
      <c r="O85" s="64"/>
    </row>
    <row r="86" spans="1:15" x14ac:dyDescent="0.2">
      <c r="A86" s="64"/>
      <c r="C86" s="106"/>
      <c r="D86" s="106"/>
      <c r="E86" s="106"/>
      <c r="F86" s="107"/>
      <c r="G86" s="107"/>
      <c r="H86" s="107"/>
      <c r="I86" s="107"/>
      <c r="O86" s="64"/>
    </row>
    <row r="87" spans="1:15" x14ac:dyDescent="0.2">
      <c r="A87" s="64"/>
      <c r="B87" s="91"/>
      <c r="C87" s="59" t="s">
        <v>82</v>
      </c>
      <c r="O87" s="64"/>
    </row>
    <row r="88" spans="1:15" x14ac:dyDescent="0.2">
      <c r="A88" s="64"/>
      <c r="C88" s="91" t="s">
        <v>91</v>
      </c>
      <c r="O88" s="64"/>
    </row>
    <row r="89" spans="1:15" ht="120" customHeight="1" x14ac:dyDescent="0.2">
      <c r="A89" s="64"/>
      <c r="C89" s="61" t="s">
        <v>9</v>
      </c>
      <c r="D89" s="181" t="s">
        <v>10</v>
      </c>
      <c r="E89" s="182"/>
      <c r="F89" s="137" t="s">
        <v>60</v>
      </c>
      <c r="G89" s="137" t="s">
        <v>61</v>
      </c>
      <c r="H89" s="137" t="s">
        <v>62</v>
      </c>
      <c r="I89" s="137" t="s">
        <v>63</v>
      </c>
      <c r="O89" s="64"/>
    </row>
    <row r="90" spans="1:15" x14ac:dyDescent="0.2">
      <c r="A90" s="64"/>
      <c r="C90" s="61" t="s">
        <v>106</v>
      </c>
      <c r="D90" s="61" t="s">
        <v>107</v>
      </c>
      <c r="E90" s="61">
        <v>1</v>
      </c>
      <c r="F90" s="138" t="e">
        <f>'C_EU Marinas_Scenario_Calc'!S21</f>
        <v>#DIV/0!</v>
      </c>
      <c r="G90" s="138" t="e">
        <f>'C_EU Marinas_Scenario_Calc'!T21</f>
        <v>#DIV/0!</v>
      </c>
      <c r="H90" s="138" t="e">
        <f>'C_EU Marinas_Scenario_Calc'!U21</f>
        <v>#DIV/0!</v>
      </c>
      <c r="I90" s="138" t="e">
        <f>'C_EU Marinas_Scenario_Calc'!V21</f>
        <v>#DIV/0!</v>
      </c>
      <c r="O90" s="64"/>
    </row>
    <row r="91" spans="1:15" x14ac:dyDescent="0.2">
      <c r="A91" s="64"/>
      <c r="C91" s="61" t="s">
        <v>108</v>
      </c>
      <c r="D91" s="61" t="s">
        <v>107</v>
      </c>
      <c r="E91" s="61">
        <v>2</v>
      </c>
      <c r="F91" s="138" t="e">
        <f>'C_EU Marinas_Scenario_Calc'!S22</f>
        <v>#DIV/0!</v>
      </c>
      <c r="G91" s="138" t="e">
        <f>'C_EU Marinas_Scenario_Calc'!T22</f>
        <v>#DIV/0!</v>
      </c>
      <c r="H91" s="138" t="e">
        <f>'C_EU Marinas_Scenario_Calc'!U22</f>
        <v>#DIV/0!</v>
      </c>
      <c r="I91" s="138" t="e">
        <f>'C_EU Marinas_Scenario_Calc'!V22</f>
        <v>#DIV/0!</v>
      </c>
      <c r="O91" s="64"/>
    </row>
    <row r="92" spans="1:15" x14ac:dyDescent="0.2">
      <c r="A92" s="64"/>
      <c r="C92" s="61" t="s">
        <v>109</v>
      </c>
      <c r="D92" s="61" t="s">
        <v>107</v>
      </c>
      <c r="E92" s="61">
        <v>3</v>
      </c>
      <c r="F92" s="138" t="e">
        <f>'C_EU Marinas_Scenario_Calc'!S23</f>
        <v>#DIV/0!</v>
      </c>
      <c r="G92" s="138" t="e">
        <f>'C_EU Marinas_Scenario_Calc'!T23</f>
        <v>#DIV/0!</v>
      </c>
      <c r="H92" s="138" t="e">
        <f>'C_EU Marinas_Scenario_Calc'!U23</f>
        <v>#DIV/0!</v>
      </c>
      <c r="I92" s="138" t="e">
        <f>'C_EU Marinas_Scenario_Calc'!V23</f>
        <v>#DIV/0!</v>
      </c>
      <c r="O92" s="64"/>
    </row>
    <row r="93" spans="1:15" x14ac:dyDescent="0.2">
      <c r="A93" s="64"/>
      <c r="C93" s="61" t="s">
        <v>110</v>
      </c>
      <c r="D93" s="61" t="s">
        <v>107</v>
      </c>
      <c r="E93" s="61">
        <v>4</v>
      </c>
      <c r="F93" s="138" t="e">
        <f>'C_EU Marinas_Scenario_Calc'!S24</f>
        <v>#DIV/0!</v>
      </c>
      <c r="G93" s="138" t="e">
        <f>'C_EU Marinas_Scenario_Calc'!T24</f>
        <v>#DIV/0!</v>
      </c>
      <c r="H93" s="138" t="e">
        <f>'C_EU Marinas_Scenario_Calc'!U24</f>
        <v>#DIV/0!</v>
      </c>
      <c r="I93" s="138" t="e">
        <f>'C_EU Marinas_Scenario_Calc'!V24</f>
        <v>#DIV/0!</v>
      </c>
      <c r="O93" s="64"/>
    </row>
    <row r="94" spans="1:15" x14ac:dyDescent="0.2">
      <c r="A94" s="64"/>
      <c r="C94" s="61" t="s">
        <v>111</v>
      </c>
      <c r="D94" s="61" t="s">
        <v>107</v>
      </c>
      <c r="E94" s="61">
        <v>5</v>
      </c>
      <c r="F94" s="138" t="e">
        <f>'C_EU Marinas_Scenario_Calc'!S25</f>
        <v>#DIV/0!</v>
      </c>
      <c r="G94" s="138" t="e">
        <f>'C_EU Marinas_Scenario_Calc'!T25</f>
        <v>#DIV/0!</v>
      </c>
      <c r="H94" s="138" t="e">
        <f>'C_EU Marinas_Scenario_Calc'!U25</f>
        <v>#DIV/0!</v>
      </c>
      <c r="I94" s="138" t="e">
        <f>'C_EU Marinas_Scenario_Calc'!V25</f>
        <v>#DIV/0!</v>
      </c>
      <c r="O94" s="64"/>
    </row>
    <row r="95" spans="1:15" x14ac:dyDescent="0.2">
      <c r="A95" s="64"/>
      <c r="C95" s="61" t="s">
        <v>112</v>
      </c>
      <c r="D95" s="61" t="s">
        <v>107</v>
      </c>
      <c r="E95" s="61">
        <v>6</v>
      </c>
      <c r="F95" s="138" t="e">
        <f>'C_EU Marinas_Scenario_Calc'!S26</f>
        <v>#DIV/0!</v>
      </c>
      <c r="G95" s="138" t="e">
        <f>'C_EU Marinas_Scenario_Calc'!T26</f>
        <v>#DIV/0!</v>
      </c>
      <c r="H95" s="138" t="e">
        <f>'C_EU Marinas_Scenario_Calc'!U26</f>
        <v>#DIV/0!</v>
      </c>
      <c r="I95" s="138" t="e">
        <f>'C_EU Marinas_Scenario_Calc'!V26</f>
        <v>#DIV/0!</v>
      </c>
      <c r="O95" s="64"/>
    </row>
    <row r="96" spans="1:15" x14ac:dyDescent="0.2">
      <c r="A96" s="64"/>
      <c r="C96" s="61" t="s">
        <v>113</v>
      </c>
      <c r="D96" s="61" t="s">
        <v>107</v>
      </c>
      <c r="E96" s="61">
        <v>7</v>
      </c>
      <c r="F96" s="138" t="e">
        <f>'C_EU Marinas_Scenario_Calc'!S27</f>
        <v>#DIV/0!</v>
      </c>
      <c r="G96" s="138" t="e">
        <f>'C_EU Marinas_Scenario_Calc'!T27</f>
        <v>#DIV/0!</v>
      </c>
      <c r="H96" s="138" t="e">
        <f>'C_EU Marinas_Scenario_Calc'!U27</f>
        <v>#DIV/0!</v>
      </c>
      <c r="I96" s="138" t="e">
        <f>'C_EU Marinas_Scenario_Calc'!V27</f>
        <v>#DIV/0!</v>
      </c>
      <c r="O96" s="64"/>
    </row>
    <row r="97" spans="1:15" x14ac:dyDescent="0.2">
      <c r="A97" s="64"/>
      <c r="C97" s="61" t="s">
        <v>114</v>
      </c>
      <c r="D97" s="61" t="s">
        <v>115</v>
      </c>
      <c r="E97" s="61">
        <v>2</v>
      </c>
      <c r="F97" s="138" t="e">
        <f>'C_EU Marinas_Scenario_Calc'!S28</f>
        <v>#DIV/0!</v>
      </c>
      <c r="G97" s="138" t="e">
        <f>'C_EU Marinas_Scenario_Calc'!T28</f>
        <v>#DIV/0!</v>
      </c>
      <c r="H97" s="138" t="e">
        <f>'C_EU Marinas_Scenario_Calc'!U28</f>
        <v>#DIV/0!</v>
      </c>
      <c r="I97" s="138" t="e">
        <f>'C_EU Marinas_Scenario_Calc'!V28</f>
        <v>#DIV/0!</v>
      </c>
      <c r="O97" s="64"/>
    </row>
    <row r="98" spans="1:15" x14ac:dyDescent="0.2">
      <c r="A98" s="64"/>
      <c r="C98" s="61" t="s">
        <v>116</v>
      </c>
      <c r="D98" s="61" t="s">
        <v>115</v>
      </c>
      <c r="E98" s="61">
        <v>3</v>
      </c>
      <c r="F98" s="138" t="e">
        <f>'C_EU Marinas_Scenario_Calc'!S29</f>
        <v>#DIV/0!</v>
      </c>
      <c r="G98" s="138" t="e">
        <f>'C_EU Marinas_Scenario_Calc'!T29</f>
        <v>#DIV/0!</v>
      </c>
      <c r="H98" s="138" t="e">
        <f>'C_EU Marinas_Scenario_Calc'!U29</f>
        <v>#DIV/0!</v>
      </c>
      <c r="I98" s="138" t="e">
        <f>'C_EU Marinas_Scenario_Calc'!V29</f>
        <v>#DIV/0!</v>
      </c>
      <c r="O98" s="64"/>
    </row>
    <row r="99" spans="1:15" x14ac:dyDescent="0.2">
      <c r="A99" s="64"/>
      <c r="C99" s="61" t="s">
        <v>117</v>
      </c>
      <c r="D99" s="61" t="s">
        <v>115</v>
      </c>
      <c r="E99" s="61">
        <v>5</v>
      </c>
      <c r="F99" s="138" t="e">
        <f>'C_EU Marinas_Scenario_Calc'!S30</f>
        <v>#DIV/0!</v>
      </c>
      <c r="G99" s="138" t="e">
        <f>'C_EU Marinas_Scenario_Calc'!T30</f>
        <v>#DIV/0!</v>
      </c>
      <c r="H99" s="138" t="e">
        <f>'C_EU Marinas_Scenario_Calc'!U30</f>
        <v>#DIV/0!</v>
      </c>
      <c r="I99" s="138" t="e">
        <f>'C_EU Marinas_Scenario_Calc'!V30</f>
        <v>#DIV/0!</v>
      </c>
      <c r="O99" s="64"/>
    </row>
    <row r="100" spans="1:15" x14ac:dyDescent="0.2">
      <c r="A100" s="64"/>
      <c r="C100" s="61" t="s">
        <v>118</v>
      </c>
      <c r="D100" s="61" t="s">
        <v>115</v>
      </c>
      <c r="E100" s="61">
        <v>6</v>
      </c>
      <c r="F100" s="138" t="e">
        <f>'C_EU Marinas_Scenario_Calc'!S31</f>
        <v>#DIV/0!</v>
      </c>
      <c r="G100" s="138" t="e">
        <f>'C_EU Marinas_Scenario_Calc'!T31</f>
        <v>#DIV/0!</v>
      </c>
      <c r="H100" s="138" t="e">
        <f>'C_EU Marinas_Scenario_Calc'!U31</f>
        <v>#DIV/0!</v>
      </c>
      <c r="I100" s="138" t="e">
        <f>'C_EU Marinas_Scenario_Calc'!V31</f>
        <v>#DIV/0!</v>
      </c>
      <c r="O100" s="64"/>
    </row>
    <row r="101" spans="1:15" x14ac:dyDescent="0.2">
      <c r="A101" s="64"/>
      <c r="C101" s="61" t="s">
        <v>119</v>
      </c>
      <c r="D101" s="61" t="s">
        <v>115</v>
      </c>
      <c r="E101" s="61">
        <v>11</v>
      </c>
      <c r="F101" s="138" t="e">
        <f>'C_EU Marinas_Scenario_Calc'!S32</f>
        <v>#DIV/0!</v>
      </c>
      <c r="G101" s="138" t="e">
        <f>'C_EU Marinas_Scenario_Calc'!T32</f>
        <v>#DIV/0!</v>
      </c>
      <c r="H101" s="138" t="e">
        <f>'C_EU Marinas_Scenario_Calc'!U32</f>
        <v>#DIV/0!</v>
      </c>
      <c r="I101" s="138" t="e">
        <f>'C_EU Marinas_Scenario_Calc'!V32</f>
        <v>#DIV/0!</v>
      </c>
      <c r="O101" s="64"/>
    </row>
    <row r="102" spans="1:15" x14ac:dyDescent="0.2">
      <c r="A102" s="64"/>
      <c r="C102" s="61" t="s">
        <v>120</v>
      </c>
      <c r="D102" s="61" t="s">
        <v>115</v>
      </c>
      <c r="E102" s="61">
        <v>12</v>
      </c>
      <c r="F102" s="138" t="e">
        <f>'C_EU Marinas_Scenario_Calc'!S33</f>
        <v>#DIV/0!</v>
      </c>
      <c r="G102" s="138" t="e">
        <f>'C_EU Marinas_Scenario_Calc'!T33</f>
        <v>#DIV/0!</v>
      </c>
      <c r="H102" s="138" t="e">
        <f>'C_EU Marinas_Scenario_Calc'!U33</f>
        <v>#DIV/0!</v>
      </c>
      <c r="I102" s="138" t="e">
        <f>'C_EU Marinas_Scenario_Calc'!V33</f>
        <v>#DIV/0!</v>
      </c>
      <c r="O102" s="64"/>
    </row>
    <row r="103" spans="1:15" x14ac:dyDescent="0.2">
      <c r="A103" s="64"/>
      <c r="C103" s="61" t="s">
        <v>121</v>
      </c>
      <c r="D103" s="61" t="s">
        <v>12</v>
      </c>
      <c r="E103" s="61" t="s">
        <v>122</v>
      </c>
      <c r="F103" s="138" t="e">
        <f>'C_EU Marinas_Scenario_Calc'!S34</f>
        <v>#DIV/0!</v>
      </c>
      <c r="G103" s="138" t="e">
        <f>'C_EU Marinas_Scenario_Calc'!T34</f>
        <v>#DIV/0!</v>
      </c>
      <c r="H103" s="138" t="e">
        <f>'C_EU Marinas_Scenario_Calc'!U34</f>
        <v>#DIV/0!</v>
      </c>
      <c r="I103" s="138" t="e">
        <f>'C_EU Marinas_Scenario_Calc'!V34</f>
        <v>#DIV/0!</v>
      </c>
      <c r="O103" s="64"/>
    </row>
    <row r="104" spans="1:15" x14ac:dyDescent="0.2">
      <c r="A104" s="64"/>
      <c r="C104" s="61" t="s">
        <v>123</v>
      </c>
      <c r="D104" s="61" t="s">
        <v>12</v>
      </c>
      <c r="E104" s="61" t="s">
        <v>124</v>
      </c>
      <c r="F104" s="138" t="e">
        <f>'C_EU Marinas_Scenario_Calc'!S35</f>
        <v>#DIV/0!</v>
      </c>
      <c r="G104" s="138" t="e">
        <f>'C_EU Marinas_Scenario_Calc'!T35</f>
        <v>#DIV/0!</v>
      </c>
      <c r="H104" s="138" t="e">
        <f>'C_EU Marinas_Scenario_Calc'!U35</f>
        <v>#DIV/0!</v>
      </c>
      <c r="I104" s="138" t="e">
        <f>'C_EU Marinas_Scenario_Calc'!V35</f>
        <v>#DIV/0!</v>
      </c>
      <c r="O104" s="64"/>
    </row>
    <row r="105" spans="1:15" x14ac:dyDescent="0.2">
      <c r="A105" s="64"/>
      <c r="C105" s="61" t="s">
        <v>125</v>
      </c>
      <c r="D105" s="61" t="s">
        <v>12</v>
      </c>
      <c r="E105" s="61" t="s">
        <v>126</v>
      </c>
      <c r="F105" s="138" t="e">
        <f>'C_EU Marinas_Scenario_Calc'!S36</f>
        <v>#DIV/0!</v>
      </c>
      <c r="G105" s="138" t="e">
        <f>'C_EU Marinas_Scenario_Calc'!T36</f>
        <v>#DIV/0!</v>
      </c>
      <c r="H105" s="138" t="e">
        <f>'C_EU Marinas_Scenario_Calc'!U36</f>
        <v>#DIV/0!</v>
      </c>
      <c r="I105" s="138" t="e">
        <f>'C_EU Marinas_Scenario_Calc'!V36</f>
        <v>#DIV/0!</v>
      </c>
      <c r="O105" s="64"/>
    </row>
    <row r="106" spans="1:15" x14ac:dyDescent="0.2">
      <c r="A106" s="64"/>
      <c r="C106" s="61" t="s">
        <v>127</v>
      </c>
      <c r="D106" s="61" t="s">
        <v>12</v>
      </c>
      <c r="E106" s="61" t="s">
        <v>128</v>
      </c>
      <c r="F106" s="138" t="e">
        <f>'C_EU Marinas_Scenario_Calc'!S37</f>
        <v>#DIV/0!</v>
      </c>
      <c r="G106" s="138" t="e">
        <f>'C_EU Marinas_Scenario_Calc'!T37</f>
        <v>#DIV/0!</v>
      </c>
      <c r="H106" s="138" t="e">
        <f>'C_EU Marinas_Scenario_Calc'!U37</f>
        <v>#DIV/0!</v>
      </c>
      <c r="I106" s="138" t="e">
        <f>'C_EU Marinas_Scenario_Calc'!V37</f>
        <v>#DIV/0!</v>
      </c>
      <c r="O106" s="64"/>
    </row>
    <row r="107" spans="1:15" x14ac:dyDescent="0.2">
      <c r="A107" s="64"/>
      <c r="C107" s="61" t="s">
        <v>129</v>
      </c>
      <c r="D107" s="61" t="s">
        <v>12</v>
      </c>
      <c r="E107" s="61" t="s">
        <v>130</v>
      </c>
      <c r="F107" s="138" t="e">
        <f>'C_EU Marinas_Scenario_Calc'!S38</f>
        <v>#DIV/0!</v>
      </c>
      <c r="G107" s="138" t="e">
        <f>'C_EU Marinas_Scenario_Calc'!T38</f>
        <v>#DIV/0!</v>
      </c>
      <c r="H107" s="138" t="e">
        <f>'C_EU Marinas_Scenario_Calc'!U38</f>
        <v>#DIV/0!</v>
      </c>
      <c r="I107" s="138" t="e">
        <f>'C_EU Marinas_Scenario_Calc'!V38</f>
        <v>#DIV/0!</v>
      </c>
      <c r="O107" s="64"/>
    </row>
    <row r="108" spans="1:15" x14ac:dyDescent="0.2">
      <c r="A108" s="64"/>
      <c r="C108" s="61" t="s">
        <v>131</v>
      </c>
      <c r="D108" s="61" t="s">
        <v>12</v>
      </c>
      <c r="E108" s="61" t="s">
        <v>132</v>
      </c>
      <c r="F108" s="138" t="e">
        <f>'C_EU Marinas_Scenario_Calc'!S39</f>
        <v>#DIV/0!</v>
      </c>
      <c r="G108" s="138" t="e">
        <f>'C_EU Marinas_Scenario_Calc'!T39</f>
        <v>#DIV/0!</v>
      </c>
      <c r="H108" s="138" t="e">
        <f>'C_EU Marinas_Scenario_Calc'!U39</f>
        <v>#DIV/0!</v>
      </c>
      <c r="I108" s="138" t="e">
        <f>'C_EU Marinas_Scenario_Calc'!V39</f>
        <v>#DIV/0!</v>
      </c>
      <c r="O108" s="64"/>
    </row>
    <row r="109" spans="1:15" x14ac:dyDescent="0.2">
      <c r="A109" s="64"/>
      <c r="C109" s="61" t="s">
        <v>133</v>
      </c>
      <c r="D109" s="61" t="s">
        <v>12</v>
      </c>
      <c r="E109" s="61" t="s">
        <v>134</v>
      </c>
      <c r="F109" s="138" t="e">
        <f>'C_EU Marinas_Scenario_Calc'!S40</f>
        <v>#DIV/0!</v>
      </c>
      <c r="G109" s="138" t="e">
        <f>'C_EU Marinas_Scenario_Calc'!T40</f>
        <v>#DIV/0!</v>
      </c>
      <c r="H109" s="138" t="e">
        <f>'C_EU Marinas_Scenario_Calc'!U40</f>
        <v>#DIV/0!</v>
      </c>
      <c r="I109" s="138" t="e">
        <f>'C_EU Marinas_Scenario_Calc'!V40</f>
        <v>#DIV/0!</v>
      </c>
      <c r="O109" s="64"/>
    </row>
    <row r="110" spans="1:15" x14ac:dyDescent="0.2">
      <c r="A110" s="64"/>
      <c r="C110" s="61" t="s">
        <v>135</v>
      </c>
      <c r="D110" s="61" t="s">
        <v>12</v>
      </c>
      <c r="E110" s="61" t="s">
        <v>136</v>
      </c>
      <c r="F110" s="138" t="e">
        <f>'C_EU Marinas_Scenario_Calc'!S41</f>
        <v>#DIV/0!</v>
      </c>
      <c r="G110" s="138" t="e">
        <f>'C_EU Marinas_Scenario_Calc'!T41</f>
        <v>#DIV/0!</v>
      </c>
      <c r="H110" s="138" t="e">
        <f>'C_EU Marinas_Scenario_Calc'!U41</f>
        <v>#DIV/0!</v>
      </c>
      <c r="I110" s="138" t="e">
        <f>'C_EU Marinas_Scenario_Calc'!V41</f>
        <v>#DIV/0!</v>
      </c>
      <c r="O110" s="64"/>
    </row>
    <row r="111" spans="1:15" x14ac:dyDescent="0.2">
      <c r="A111" s="64"/>
      <c r="C111" s="61" t="s">
        <v>137</v>
      </c>
      <c r="D111" s="61" t="s">
        <v>12</v>
      </c>
      <c r="E111" s="61" t="s">
        <v>138</v>
      </c>
      <c r="F111" s="138" t="e">
        <f>'C_EU Marinas_Scenario_Calc'!S42</f>
        <v>#DIV/0!</v>
      </c>
      <c r="G111" s="138" t="e">
        <f>'C_EU Marinas_Scenario_Calc'!T42</f>
        <v>#DIV/0!</v>
      </c>
      <c r="H111" s="138" t="e">
        <f>'C_EU Marinas_Scenario_Calc'!U42</f>
        <v>#DIV/0!</v>
      </c>
      <c r="I111" s="138" t="e">
        <f>'C_EU Marinas_Scenario_Calc'!V42</f>
        <v>#DIV/0!</v>
      </c>
      <c r="O111" s="64"/>
    </row>
    <row r="112" spans="1:15" x14ac:dyDescent="0.2">
      <c r="A112" s="64"/>
      <c r="C112" s="61" t="s">
        <v>139</v>
      </c>
      <c r="D112" s="61" t="s">
        <v>12</v>
      </c>
      <c r="E112" s="61" t="s">
        <v>140</v>
      </c>
      <c r="F112" s="138" t="e">
        <f>'C_EU Marinas_Scenario_Calc'!S43</f>
        <v>#DIV/0!</v>
      </c>
      <c r="G112" s="138" t="e">
        <f>'C_EU Marinas_Scenario_Calc'!T43</f>
        <v>#DIV/0!</v>
      </c>
      <c r="H112" s="138" t="e">
        <f>'C_EU Marinas_Scenario_Calc'!U43</f>
        <v>#DIV/0!</v>
      </c>
      <c r="I112" s="138" t="e">
        <f>'C_EU Marinas_Scenario_Calc'!V43</f>
        <v>#DIV/0!</v>
      </c>
      <c r="O112" s="64"/>
    </row>
    <row r="113" spans="1:15" x14ac:dyDescent="0.2">
      <c r="A113" s="64"/>
      <c r="C113" s="61" t="s">
        <v>141</v>
      </c>
      <c r="D113" s="61" t="s">
        <v>13</v>
      </c>
      <c r="E113" s="61">
        <v>1</v>
      </c>
      <c r="F113" s="138" t="e">
        <f>'C_EU Marinas_Scenario_Calc'!S44</f>
        <v>#DIV/0!</v>
      </c>
      <c r="G113" s="138" t="e">
        <f>'C_EU Marinas_Scenario_Calc'!T44</f>
        <v>#DIV/0!</v>
      </c>
      <c r="H113" s="138" t="e">
        <f>'C_EU Marinas_Scenario_Calc'!U44</f>
        <v>#DIV/0!</v>
      </c>
      <c r="I113" s="138" t="e">
        <f>'C_EU Marinas_Scenario_Calc'!V44</f>
        <v>#DIV/0!</v>
      </c>
      <c r="O113" s="64"/>
    </row>
    <row r="114" spans="1:15" x14ac:dyDescent="0.2">
      <c r="A114" s="64"/>
      <c r="C114" s="61" t="s">
        <v>142</v>
      </c>
      <c r="D114" s="61" t="s">
        <v>13</v>
      </c>
      <c r="E114" s="61">
        <v>3</v>
      </c>
      <c r="F114" s="138" t="e">
        <f>'C_EU Marinas_Scenario_Calc'!S45</f>
        <v>#DIV/0!</v>
      </c>
      <c r="G114" s="138" t="e">
        <f>'C_EU Marinas_Scenario_Calc'!T45</f>
        <v>#DIV/0!</v>
      </c>
      <c r="H114" s="138" t="e">
        <f>'C_EU Marinas_Scenario_Calc'!U45</f>
        <v>#DIV/0!</v>
      </c>
      <c r="I114" s="138" t="e">
        <f>'C_EU Marinas_Scenario_Calc'!V45</f>
        <v>#DIV/0!</v>
      </c>
      <c r="O114" s="64"/>
    </row>
    <row r="115" spans="1:15" x14ac:dyDescent="0.2">
      <c r="A115" s="64"/>
      <c r="C115" s="61" t="s">
        <v>143</v>
      </c>
      <c r="D115" s="61" t="s">
        <v>13</v>
      </c>
      <c r="E115" s="61">
        <v>4</v>
      </c>
      <c r="F115" s="138" t="e">
        <f>'C_EU Marinas_Scenario_Calc'!S46</f>
        <v>#DIV/0!</v>
      </c>
      <c r="G115" s="138" t="e">
        <f>'C_EU Marinas_Scenario_Calc'!T46</f>
        <v>#DIV/0!</v>
      </c>
      <c r="H115" s="138" t="e">
        <f>'C_EU Marinas_Scenario_Calc'!U46</f>
        <v>#DIV/0!</v>
      </c>
      <c r="I115" s="138" t="e">
        <f>'C_EU Marinas_Scenario_Calc'!V46</f>
        <v>#DIV/0!</v>
      </c>
      <c r="O115" s="64"/>
    </row>
    <row r="116" spans="1:15" x14ac:dyDescent="0.2">
      <c r="A116" s="64"/>
      <c r="C116" s="61" t="s">
        <v>144</v>
      </c>
      <c r="D116" s="61" t="s">
        <v>13</v>
      </c>
      <c r="E116" s="61">
        <v>6</v>
      </c>
      <c r="F116" s="138" t="e">
        <f>'C_EU Marinas_Scenario_Calc'!S47</f>
        <v>#DIV/0!</v>
      </c>
      <c r="G116" s="138" t="e">
        <f>'C_EU Marinas_Scenario_Calc'!T47</f>
        <v>#DIV/0!</v>
      </c>
      <c r="H116" s="138" t="e">
        <f>'C_EU Marinas_Scenario_Calc'!U47</f>
        <v>#DIV/0!</v>
      </c>
      <c r="I116" s="138" t="e">
        <f>'C_EU Marinas_Scenario_Calc'!V47</f>
        <v>#DIV/0!</v>
      </c>
      <c r="O116" s="64"/>
    </row>
    <row r="117" spans="1:15" x14ac:dyDescent="0.2">
      <c r="A117" s="64"/>
      <c r="C117" s="61" t="s">
        <v>145</v>
      </c>
      <c r="D117" s="61" t="s">
        <v>13</v>
      </c>
      <c r="E117" s="61">
        <v>7</v>
      </c>
      <c r="F117" s="138" t="e">
        <f>'C_EU Marinas_Scenario_Calc'!S48</f>
        <v>#DIV/0!</v>
      </c>
      <c r="G117" s="138" t="e">
        <f>'C_EU Marinas_Scenario_Calc'!T48</f>
        <v>#DIV/0!</v>
      </c>
      <c r="H117" s="138" t="e">
        <f>'C_EU Marinas_Scenario_Calc'!U48</f>
        <v>#DIV/0!</v>
      </c>
      <c r="I117" s="138" t="e">
        <f>'C_EU Marinas_Scenario_Calc'!V48</f>
        <v>#DIV/0!</v>
      </c>
      <c r="O117" s="64"/>
    </row>
    <row r="118" spans="1:15" x14ac:dyDescent="0.2">
      <c r="A118" s="64"/>
      <c r="C118" s="61" t="s">
        <v>146</v>
      </c>
      <c r="D118" s="61" t="s">
        <v>13</v>
      </c>
      <c r="E118" s="61">
        <v>8</v>
      </c>
      <c r="F118" s="138" t="e">
        <f>'C_EU Marinas_Scenario_Calc'!S49</f>
        <v>#DIV/0!</v>
      </c>
      <c r="G118" s="138" t="e">
        <f>'C_EU Marinas_Scenario_Calc'!T49</f>
        <v>#DIV/0!</v>
      </c>
      <c r="H118" s="138" t="e">
        <f>'C_EU Marinas_Scenario_Calc'!U49</f>
        <v>#DIV/0!</v>
      </c>
      <c r="I118" s="138" t="e">
        <f>'C_EU Marinas_Scenario_Calc'!V49</f>
        <v>#DIV/0!</v>
      </c>
      <c r="O118" s="64"/>
    </row>
    <row r="119" spans="1:15" x14ac:dyDescent="0.2">
      <c r="A119" s="64"/>
      <c r="C119" s="61" t="s">
        <v>147</v>
      </c>
      <c r="D119" s="61" t="s">
        <v>13</v>
      </c>
      <c r="E119" s="61">
        <v>14</v>
      </c>
      <c r="F119" s="138" t="e">
        <f>'C_EU Marinas_Scenario_Calc'!S50</f>
        <v>#DIV/0!</v>
      </c>
      <c r="G119" s="138" t="e">
        <f>'C_EU Marinas_Scenario_Calc'!T50</f>
        <v>#DIV/0!</v>
      </c>
      <c r="H119" s="138" t="e">
        <f>'C_EU Marinas_Scenario_Calc'!U50</f>
        <v>#DIV/0!</v>
      </c>
      <c r="I119" s="138" t="e">
        <f>'C_EU Marinas_Scenario_Calc'!V50</f>
        <v>#DIV/0!</v>
      </c>
      <c r="O119" s="64"/>
    </row>
    <row r="120" spans="1:15" x14ac:dyDescent="0.2">
      <c r="A120" s="64"/>
      <c r="C120" s="61" t="s">
        <v>148</v>
      </c>
      <c r="D120" s="61" t="s">
        <v>13</v>
      </c>
      <c r="E120" s="61">
        <v>17</v>
      </c>
      <c r="F120" s="138" t="e">
        <f>'C_EU Marinas_Scenario_Calc'!S51</f>
        <v>#DIV/0!</v>
      </c>
      <c r="G120" s="138" t="e">
        <f>'C_EU Marinas_Scenario_Calc'!T51</f>
        <v>#DIV/0!</v>
      </c>
      <c r="H120" s="138" t="e">
        <f>'C_EU Marinas_Scenario_Calc'!U51</f>
        <v>#DIV/0!</v>
      </c>
      <c r="I120" s="138" t="e">
        <f>'C_EU Marinas_Scenario_Calc'!V51</f>
        <v>#DIV/0!</v>
      </c>
      <c r="O120" s="64"/>
    </row>
    <row r="121" spans="1:15" x14ac:dyDescent="0.2">
      <c r="A121" s="64"/>
      <c r="C121" s="61" t="s">
        <v>149</v>
      </c>
      <c r="D121" s="61" t="s">
        <v>13</v>
      </c>
      <c r="E121" s="61">
        <v>21</v>
      </c>
      <c r="F121" s="138" t="e">
        <f>'C_EU Marinas_Scenario_Calc'!S52</f>
        <v>#DIV/0!</v>
      </c>
      <c r="G121" s="138" t="e">
        <f>'C_EU Marinas_Scenario_Calc'!T52</f>
        <v>#DIV/0!</v>
      </c>
      <c r="H121" s="138" t="e">
        <f>'C_EU Marinas_Scenario_Calc'!U52</f>
        <v>#DIV/0!</v>
      </c>
      <c r="I121" s="138" t="e">
        <f>'C_EU Marinas_Scenario_Calc'!V52</f>
        <v>#DIV/0!</v>
      </c>
      <c r="O121" s="64"/>
    </row>
    <row r="122" spans="1:15" x14ac:dyDescent="0.2">
      <c r="A122" s="64"/>
      <c r="C122" s="61" t="s">
        <v>150</v>
      </c>
      <c r="D122" s="61" t="s">
        <v>13</v>
      </c>
      <c r="E122" s="61">
        <v>26</v>
      </c>
      <c r="F122" s="138" t="e">
        <f>'C_EU Marinas_Scenario_Calc'!S53</f>
        <v>#DIV/0!</v>
      </c>
      <c r="G122" s="138" t="e">
        <f>'C_EU Marinas_Scenario_Calc'!T53</f>
        <v>#DIV/0!</v>
      </c>
      <c r="H122" s="138" t="e">
        <f>'C_EU Marinas_Scenario_Calc'!U53</f>
        <v>#DIV/0!</v>
      </c>
      <c r="I122" s="138" t="e">
        <f>'C_EU Marinas_Scenario_Calc'!V53</f>
        <v>#DIV/0!</v>
      </c>
      <c r="O122" s="64"/>
    </row>
    <row r="123" spans="1:15" x14ac:dyDescent="0.2">
      <c r="A123" s="64"/>
      <c r="C123" s="61" t="s">
        <v>151</v>
      </c>
      <c r="D123" s="61" t="s">
        <v>13</v>
      </c>
      <c r="E123" s="61">
        <v>30</v>
      </c>
      <c r="F123" s="138" t="e">
        <f>'C_EU Marinas_Scenario_Calc'!S54</f>
        <v>#DIV/0!</v>
      </c>
      <c r="G123" s="138" t="e">
        <f>'C_EU Marinas_Scenario_Calc'!T54</f>
        <v>#DIV/0!</v>
      </c>
      <c r="H123" s="138" t="e">
        <f>'C_EU Marinas_Scenario_Calc'!U54</f>
        <v>#DIV/0!</v>
      </c>
      <c r="I123" s="138" t="e">
        <f>'C_EU Marinas_Scenario_Calc'!V54</f>
        <v>#DIV/0!</v>
      </c>
      <c r="O123" s="64"/>
    </row>
    <row r="124" spans="1:15" x14ac:dyDescent="0.2">
      <c r="A124" s="64"/>
      <c r="C124" s="61" t="s">
        <v>152</v>
      </c>
      <c r="D124" s="61" t="s">
        <v>13</v>
      </c>
      <c r="E124" s="61">
        <v>34</v>
      </c>
      <c r="F124" s="138" t="e">
        <f>'C_EU Marinas_Scenario_Calc'!S55</f>
        <v>#DIV/0!</v>
      </c>
      <c r="G124" s="138" t="e">
        <f>'C_EU Marinas_Scenario_Calc'!T55</f>
        <v>#DIV/0!</v>
      </c>
      <c r="H124" s="138" t="e">
        <f>'C_EU Marinas_Scenario_Calc'!U55</f>
        <v>#DIV/0!</v>
      </c>
      <c r="I124" s="138" t="e">
        <f>'C_EU Marinas_Scenario_Calc'!V55</f>
        <v>#DIV/0!</v>
      </c>
      <c r="O124" s="64"/>
    </row>
    <row r="125" spans="1:15" x14ac:dyDescent="0.2">
      <c r="A125" s="64"/>
      <c r="C125" s="61" t="s">
        <v>153</v>
      </c>
      <c r="D125" s="61" t="s">
        <v>13</v>
      </c>
      <c r="E125" s="61">
        <v>40</v>
      </c>
      <c r="F125" s="138" t="e">
        <f>'C_EU Marinas_Scenario_Calc'!S56</f>
        <v>#DIV/0!</v>
      </c>
      <c r="G125" s="138" t="e">
        <f>'C_EU Marinas_Scenario_Calc'!T56</f>
        <v>#DIV/0!</v>
      </c>
      <c r="H125" s="138" t="e">
        <f>'C_EU Marinas_Scenario_Calc'!U56</f>
        <v>#DIV/0!</v>
      </c>
      <c r="I125" s="138" t="e">
        <f>'C_EU Marinas_Scenario_Calc'!V56</f>
        <v>#DIV/0!</v>
      </c>
      <c r="O125" s="64"/>
    </row>
    <row r="126" spans="1:15" x14ac:dyDescent="0.2">
      <c r="A126" s="64"/>
      <c r="C126" s="61" t="s">
        <v>154</v>
      </c>
      <c r="D126" s="61" t="s">
        <v>13</v>
      </c>
      <c r="E126" s="61">
        <v>42</v>
      </c>
      <c r="F126" s="138" t="e">
        <f>'C_EU Marinas_Scenario_Calc'!S57</f>
        <v>#DIV/0!</v>
      </c>
      <c r="G126" s="138" t="e">
        <f>'C_EU Marinas_Scenario_Calc'!T57</f>
        <v>#DIV/0!</v>
      </c>
      <c r="H126" s="138" t="e">
        <f>'C_EU Marinas_Scenario_Calc'!U57</f>
        <v>#DIV/0!</v>
      </c>
      <c r="I126" s="138" t="e">
        <f>'C_EU Marinas_Scenario_Calc'!V57</f>
        <v>#DIV/0!</v>
      </c>
      <c r="O126" s="64"/>
    </row>
    <row r="127" spans="1:15" x14ac:dyDescent="0.2">
      <c r="A127" s="64"/>
      <c r="C127" s="61" t="s">
        <v>155</v>
      </c>
      <c r="D127" s="61" t="s">
        <v>13</v>
      </c>
      <c r="E127" s="61">
        <v>44</v>
      </c>
      <c r="F127" s="138" t="e">
        <f>'C_EU Marinas_Scenario_Calc'!S58</f>
        <v>#DIV/0!</v>
      </c>
      <c r="G127" s="138" t="e">
        <f>'C_EU Marinas_Scenario_Calc'!T58</f>
        <v>#DIV/0!</v>
      </c>
      <c r="H127" s="138" t="e">
        <f>'C_EU Marinas_Scenario_Calc'!U58</f>
        <v>#DIV/0!</v>
      </c>
      <c r="I127" s="138" t="e">
        <f>'C_EU Marinas_Scenario_Calc'!V58</f>
        <v>#DIV/0!</v>
      </c>
      <c r="O127" s="64"/>
    </row>
    <row r="128" spans="1:15" x14ac:dyDescent="0.2">
      <c r="A128" s="64"/>
      <c r="C128" s="61" t="s">
        <v>156</v>
      </c>
      <c r="D128" s="61" t="s">
        <v>13</v>
      </c>
      <c r="E128" s="61">
        <v>45</v>
      </c>
      <c r="F128" s="138" t="e">
        <f>'C_EU Marinas_Scenario_Calc'!S59</f>
        <v>#DIV/0!</v>
      </c>
      <c r="G128" s="138" t="e">
        <f>'C_EU Marinas_Scenario_Calc'!T59</f>
        <v>#DIV/0!</v>
      </c>
      <c r="H128" s="138" t="e">
        <f>'C_EU Marinas_Scenario_Calc'!U59</f>
        <v>#DIV/0!</v>
      </c>
      <c r="I128" s="138" t="e">
        <f>'C_EU Marinas_Scenario_Calc'!V59</f>
        <v>#DIV/0!</v>
      </c>
      <c r="O128" s="64"/>
    </row>
    <row r="129" spans="1:15" x14ac:dyDescent="0.2">
      <c r="A129" s="64"/>
      <c r="C129" s="61" t="s">
        <v>157</v>
      </c>
      <c r="D129" s="61" t="s">
        <v>13</v>
      </c>
      <c r="E129" s="61">
        <v>46</v>
      </c>
      <c r="F129" s="138" t="e">
        <f>'C_EU Marinas_Scenario_Calc'!S60</f>
        <v>#DIV/0!</v>
      </c>
      <c r="G129" s="138" t="e">
        <f>'C_EU Marinas_Scenario_Calc'!T60</f>
        <v>#DIV/0!</v>
      </c>
      <c r="H129" s="138" t="e">
        <f>'C_EU Marinas_Scenario_Calc'!U60</f>
        <v>#DIV/0!</v>
      </c>
      <c r="I129" s="138" t="e">
        <f>'C_EU Marinas_Scenario_Calc'!V60</f>
        <v>#DIV/0!</v>
      </c>
      <c r="O129" s="64"/>
    </row>
    <row r="130" spans="1:15" x14ac:dyDescent="0.2">
      <c r="A130" s="64"/>
      <c r="C130" s="61" t="s">
        <v>158</v>
      </c>
      <c r="D130" s="61" t="s">
        <v>13</v>
      </c>
      <c r="E130" s="61">
        <v>48</v>
      </c>
      <c r="F130" s="138" t="e">
        <f>'C_EU Marinas_Scenario_Calc'!S61</f>
        <v>#DIV/0!</v>
      </c>
      <c r="G130" s="138" t="e">
        <f>'C_EU Marinas_Scenario_Calc'!T61</f>
        <v>#DIV/0!</v>
      </c>
      <c r="H130" s="138" t="e">
        <f>'C_EU Marinas_Scenario_Calc'!U61</f>
        <v>#DIV/0!</v>
      </c>
      <c r="I130" s="138" t="e">
        <f>'C_EU Marinas_Scenario_Calc'!V61</f>
        <v>#DIV/0!</v>
      </c>
      <c r="O130" s="64"/>
    </row>
    <row r="131" spans="1:15" x14ac:dyDescent="0.2">
      <c r="A131" s="64"/>
      <c r="C131" s="61" t="s">
        <v>159</v>
      </c>
      <c r="D131" s="61" t="s">
        <v>160</v>
      </c>
      <c r="E131" s="61">
        <v>1</v>
      </c>
      <c r="F131" s="138" t="e">
        <f>'C_EU Marinas_Scenario_Calc'!S62</f>
        <v>#DIV/0!</v>
      </c>
      <c r="G131" s="138" t="e">
        <f>'C_EU Marinas_Scenario_Calc'!T62</f>
        <v>#DIV/0!</v>
      </c>
      <c r="H131" s="138" t="e">
        <f>'C_EU Marinas_Scenario_Calc'!U62</f>
        <v>#DIV/0!</v>
      </c>
      <c r="I131" s="138" t="e">
        <f>'C_EU Marinas_Scenario_Calc'!V62</f>
        <v>#DIV/0!</v>
      </c>
      <c r="O131" s="64"/>
    </row>
    <row r="132" spans="1:15" x14ac:dyDescent="0.2">
      <c r="A132" s="64"/>
      <c r="C132" s="61" t="s">
        <v>161</v>
      </c>
      <c r="D132" s="61" t="s">
        <v>160</v>
      </c>
      <c r="E132" s="61">
        <v>2</v>
      </c>
      <c r="F132" s="138" t="e">
        <f>'C_EU Marinas_Scenario_Calc'!S63</f>
        <v>#DIV/0!</v>
      </c>
      <c r="G132" s="138" t="e">
        <f>'C_EU Marinas_Scenario_Calc'!T63</f>
        <v>#DIV/0!</v>
      </c>
      <c r="H132" s="138" t="e">
        <f>'C_EU Marinas_Scenario_Calc'!U63</f>
        <v>#DIV/0!</v>
      </c>
      <c r="I132" s="138" t="e">
        <f>'C_EU Marinas_Scenario_Calc'!V63</f>
        <v>#DIV/0!</v>
      </c>
      <c r="O132" s="64"/>
    </row>
    <row r="133" spans="1:15" x14ac:dyDescent="0.2">
      <c r="A133" s="64"/>
      <c r="C133" s="61" t="s">
        <v>162</v>
      </c>
      <c r="D133" s="61" t="s">
        <v>160</v>
      </c>
      <c r="E133" s="61">
        <v>3</v>
      </c>
      <c r="F133" s="138" t="e">
        <f>'C_EU Marinas_Scenario_Calc'!S64</f>
        <v>#DIV/0!</v>
      </c>
      <c r="G133" s="138" t="e">
        <f>'C_EU Marinas_Scenario_Calc'!T64</f>
        <v>#DIV/0!</v>
      </c>
      <c r="H133" s="138" t="e">
        <f>'C_EU Marinas_Scenario_Calc'!U64</f>
        <v>#DIV/0!</v>
      </c>
      <c r="I133" s="138" t="e">
        <f>'C_EU Marinas_Scenario_Calc'!V64</f>
        <v>#DIV/0!</v>
      </c>
      <c r="O133" s="64"/>
    </row>
    <row r="134" spans="1:15" x14ac:dyDescent="0.2">
      <c r="A134" s="64"/>
      <c r="C134" s="61" t="s">
        <v>163</v>
      </c>
      <c r="D134" s="61" t="s">
        <v>160</v>
      </c>
      <c r="E134" s="61">
        <v>4</v>
      </c>
      <c r="F134" s="138" t="e">
        <f>'C_EU Marinas_Scenario_Calc'!S65</f>
        <v>#DIV/0!</v>
      </c>
      <c r="G134" s="138" t="e">
        <f>'C_EU Marinas_Scenario_Calc'!T65</f>
        <v>#DIV/0!</v>
      </c>
      <c r="H134" s="138" t="e">
        <f>'C_EU Marinas_Scenario_Calc'!U65</f>
        <v>#DIV/0!</v>
      </c>
      <c r="I134" s="138" t="e">
        <f>'C_EU Marinas_Scenario_Calc'!V65</f>
        <v>#DIV/0!</v>
      </c>
      <c r="O134" s="64"/>
    </row>
    <row r="135" spans="1:15" x14ac:dyDescent="0.2">
      <c r="A135" s="64"/>
      <c r="C135" s="61" t="s">
        <v>164</v>
      </c>
      <c r="D135" s="61" t="s">
        <v>160</v>
      </c>
      <c r="E135" s="61">
        <v>5</v>
      </c>
      <c r="F135" s="138" t="e">
        <f>'C_EU Marinas_Scenario_Calc'!S66</f>
        <v>#DIV/0!</v>
      </c>
      <c r="G135" s="138" t="e">
        <f>'C_EU Marinas_Scenario_Calc'!T66</f>
        <v>#DIV/0!</v>
      </c>
      <c r="H135" s="138" t="e">
        <f>'C_EU Marinas_Scenario_Calc'!U66</f>
        <v>#DIV/0!</v>
      </c>
      <c r="I135" s="138" t="e">
        <f>'C_EU Marinas_Scenario_Calc'!V66</f>
        <v>#DIV/0!</v>
      </c>
      <c r="O135" s="64"/>
    </row>
    <row r="136" spans="1:15" x14ac:dyDescent="0.2">
      <c r="A136" s="64"/>
      <c r="C136" s="183" t="s">
        <v>172</v>
      </c>
      <c r="D136" s="183"/>
      <c r="E136" s="183"/>
      <c r="F136" s="138" t="e">
        <f>'C_Regulatory_ Marinas_Calc'!Q21</f>
        <v>#DIV/0!</v>
      </c>
      <c r="G136" s="138" t="e">
        <f>'C_Regulatory_ Marinas_Calc'!R21</f>
        <v>#DIV/0!</v>
      </c>
      <c r="H136" s="138" t="e">
        <f>'C_Regulatory_ Marinas_Calc'!S21</f>
        <v>#DIV/0!</v>
      </c>
      <c r="I136" s="138" t="e">
        <f>'C_Regulatory_ Marinas_Calc'!T21</f>
        <v>#DIV/0!</v>
      </c>
      <c r="O136" s="64"/>
    </row>
    <row r="137" spans="1:15" x14ac:dyDescent="0.2">
      <c r="A137" s="64"/>
      <c r="C137" s="183" t="s">
        <v>173</v>
      </c>
      <c r="D137" s="183"/>
      <c r="E137" s="183"/>
      <c r="F137" s="138" t="e">
        <f>'C_Regulatory_ Marinas_Calc'!Q22</f>
        <v>#DIV/0!</v>
      </c>
      <c r="G137" s="138" t="e">
        <f>'C_Regulatory_ Marinas_Calc'!R22</f>
        <v>#DIV/0!</v>
      </c>
      <c r="H137" s="138" t="e">
        <f>'C_Regulatory_ Marinas_Calc'!S22</f>
        <v>#DIV/0!</v>
      </c>
      <c r="I137" s="138" t="e">
        <f>'C_Regulatory_ Marinas_Calc'!T22</f>
        <v>#DIV/0!</v>
      </c>
      <c r="O137" s="64"/>
    </row>
    <row r="138" spans="1:15" x14ac:dyDescent="0.2">
      <c r="A138" s="64"/>
      <c r="B138" s="91"/>
      <c r="O138" s="64"/>
    </row>
    <row r="139" spans="1:15" x14ac:dyDescent="0.2">
      <c r="A139" s="64"/>
      <c r="B139" s="64"/>
      <c r="C139" s="64"/>
      <c r="D139" s="64"/>
      <c r="E139" s="64"/>
      <c r="F139" s="64"/>
      <c r="G139" s="64"/>
      <c r="H139" s="64"/>
      <c r="I139" s="64"/>
      <c r="J139" s="64"/>
      <c r="K139" s="64"/>
      <c r="L139" s="64"/>
      <c r="M139" s="64"/>
      <c r="N139" s="64"/>
      <c r="O139" s="64"/>
    </row>
    <row r="140" spans="1:15" hidden="1" x14ac:dyDescent="0.2"/>
    <row r="141" spans="1:15" hidden="1" x14ac:dyDescent="0.2"/>
    <row r="142" spans="1:15" hidden="1" x14ac:dyDescent="0.2"/>
    <row r="143" spans="1:15" hidden="1" x14ac:dyDescent="0.2"/>
    <row r="144" spans="1:15"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sheetData>
  <mergeCells count="18">
    <mergeCell ref="C137:E137"/>
    <mergeCell ref="C19:F19"/>
    <mergeCell ref="C21:G21"/>
    <mergeCell ref="C28:E28"/>
    <mergeCell ref="C29:E29"/>
    <mergeCell ref="C30:E30"/>
    <mergeCell ref="C31:E31"/>
    <mergeCell ref="D37:E37"/>
    <mergeCell ref="C84:E84"/>
    <mergeCell ref="C85:E85"/>
    <mergeCell ref="D89:E89"/>
    <mergeCell ref="C136:E136"/>
    <mergeCell ref="C18:F18"/>
    <mergeCell ref="C9:G9"/>
    <mergeCell ref="C11:G11"/>
    <mergeCell ref="C15:G15"/>
    <mergeCell ref="C16:F16"/>
    <mergeCell ref="C17:F17"/>
  </mergeCells>
  <conditionalFormatting sqref="F90:I137">
    <cfRule type="cellIs" dxfId="19" priority="1" operator="greaterThan">
      <formula>1</formula>
    </cfRule>
  </conditionalFormatting>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Z395"/>
  <sheetViews>
    <sheetView zoomScale="85" zoomScaleNormal="85" workbookViewId="0"/>
  </sheetViews>
  <sheetFormatPr defaultColWidth="0" defaultRowHeight="12.75" zeroHeight="1" x14ac:dyDescent="0.2"/>
  <cols>
    <col min="1" max="2" width="3.125" style="3" customWidth="1"/>
    <col min="3" max="3" width="23.75" style="91" customWidth="1"/>
    <col min="4" max="4" width="3.625" style="91" customWidth="1"/>
    <col min="5" max="5" width="4.625" style="91" customWidth="1"/>
    <col min="6" max="10" width="16.625" style="91" customWidth="1"/>
    <col min="11" max="11" width="16.625" style="3" customWidth="1"/>
    <col min="12" max="13" width="16.625" style="91" customWidth="1"/>
    <col min="14" max="14" width="3.125" style="91" customWidth="1"/>
    <col min="15" max="15" width="3" style="91" customWidth="1"/>
    <col min="16" max="16" width="12.75" style="91" hidden="1" customWidth="1"/>
    <col min="17" max="17" width="12.25" style="91" hidden="1" customWidth="1"/>
    <col min="18" max="18" width="12.5" style="91" hidden="1" customWidth="1"/>
    <col min="19" max="19" width="12.25" style="91" hidden="1" customWidth="1"/>
    <col min="20" max="26" width="0" style="91" hidden="1" customWidth="1"/>
    <col min="27" max="16384" width="9" style="91" hidden="1"/>
  </cols>
  <sheetData>
    <row r="1" spans="1:15" x14ac:dyDescent="0.2">
      <c r="A1" s="64"/>
      <c r="B1" s="64"/>
      <c r="C1" s="64"/>
      <c r="D1" s="64"/>
      <c r="E1" s="64"/>
      <c r="F1" s="64"/>
      <c r="G1" s="64"/>
      <c r="H1" s="64"/>
      <c r="I1" s="64"/>
      <c r="J1" s="64"/>
      <c r="K1" s="64"/>
      <c r="L1" s="64"/>
      <c r="M1" s="64"/>
      <c r="N1" s="64"/>
      <c r="O1" s="64"/>
    </row>
    <row r="2" spans="1:15" x14ac:dyDescent="0.2">
      <c r="A2" s="64"/>
      <c r="L2" s="3"/>
      <c r="O2" s="64"/>
    </row>
    <row r="3" spans="1:15" x14ac:dyDescent="0.2">
      <c r="A3" s="64"/>
      <c r="C3" s="58" t="s">
        <v>78</v>
      </c>
      <c r="D3" s="58"/>
      <c r="E3" s="58"/>
      <c r="F3" s="58"/>
      <c r="G3" s="58"/>
      <c r="H3" s="58"/>
      <c r="I3" s="58"/>
      <c r="J3" s="58"/>
      <c r="K3" s="66"/>
      <c r="L3" s="66"/>
      <c r="M3" s="90">
        <f ca="1">TODAY()</f>
        <v>43021</v>
      </c>
      <c r="O3" s="64"/>
    </row>
    <row r="4" spans="1:15" x14ac:dyDescent="0.2">
      <c r="A4" s="64"/>
      <c r="C4" s="148" t="str">
        <f>Tooltype</f>
        <v>Freshwater calculator tool</v>
      </c>
      <c r="L4" s="3"/>
      <c r="O4" s="64"/>
    </row>
    <row r="5" spans="1:15" x14ac:dyDescent="0.2">
      <c r="A5" s="64"/>
      <c r="L5" s="3"/>
      <c r="O5" s="64"/>
    </row>
    <row r="6" spans="1:15" x14ac:dyDescent="0.2">
      <c r="A6" s="64"/>
      <c r="C6" s="59" t="s">
        <v>79</v>
      </c>
      <c r="D6" s="91" t="str">
        <f>P_Compound_Name</f>
        <v>Pyrithione</v>
      </c>
      <c r="L6" s="3"/>
      <c r="O6" s="64"/>
    </row>
    <row r="7" spans="1:15" x14ac:dyDescent="0.2">
      <c r="A7" s="64"/>
      <c r="C7" s="59" t="s">
        <v>80</v>
      </c>
      <c r="D7" s="91" t="str">
        <f>Version</f>
        <v>Version Final 1.1</v>
      </c>
      <c r="L7" s="3"/>
      <c r="O7" s="64"/>
    </row>
    <row r="8" spans="1:15" x14ac:dyDescent="0.2">
      <c r="A8" s="64"/>
      <c r="L8" s="3"/>
      <c r="O8" s="64"/>
    </row>
    <row r="9" spans="1:15" x14ac:dyDescent="0.2">
      <c r="A9" s="64"/>
      <c r="C9" s="176" t="s">
        <v>16</v>
      </c>
      <c r="D9" s="176"/>
      <c r="E9" s="176"/>
      <c r="F9" s="176"/>
      <c r="G9" s="176"/>
      <c r="L9" s="3"/>
      <c r="O9" s="64"/>
    </row>
    <row r="10" spans="1:15" x14ac:dyDescent="0.2">
      <c r="A10" s="64"/>
      <c r="C10" s="60"/>
      <c r="L10" s="3"/>
      <c r="O10" s="64"/>
    </row>
    <row r="11" spans="1:15" x14ac:dyDescent="0.2">
      <c r="A11" s="64"/>
      <c r="C11" s="175" t="s">
        <v>90</v>
      </c>
      <c r="D11" s="175"/>
      <c r="E11" s="175"/>
      <c r="F11" s="175"/>
      <c r="G11" s="175"/>
      <c r="L11" s="3"/>
      <c r="O11" s="64"/>
    </row>
    <row r="12" spans="1:15" x14ac:dyDescent="0.2">
      <c r="A12" s="64"/>
      <c r="C12" s="91" t="s">
        <v>67</v>
      </c>
      <c r="F12" s="91">
        <f>Application_Factor</f>
        <v>0.9</v>
      </c>
      <c r="L12" s="3"/>
      <c r="O12" s="64"/>
    </row>
    <row r="13" spans="1:15" x14ac:dyDescent="0.2">
      <c r="A13" s="64"/>
      <c r="C13" s="91" t="s">
        <v>89</v>
      </c>
      <c r="F13" s="154" t="e">
        <f>IF(ISBLANK(P_Average_biocide_release_over_the_lifetime_of_the_paint_M),P_User_Input!I30,P_Average_biocide_release_over_the_lifetime_of_the_paint_M)</f>
        <v>#DIV/0!</v>
      </c>
      <c r="L13" s="3"/>
      <c r="O13" s="64"/>
    </row>
    <row r="14" spans="1:15" x14ac:dyDescent="0.2">
      <c r="A14" s="64"/>
      <c r="L14" s="3"/>
      <c r="O14" s="64"/>
    </row>
    <row r="15" spans="1:15" x14ac:dyDescent="0.2">
      <c r="A15" s="64"/>
      <c r="C15" s="175" t="s">
        <v>58</v>
      </c>
      <c r="D15" s="175"/>
      <c r="E15" s="175"/>
      <c r="F15" s="175"/>
      <c r="G15" s="175"/>
      <c r="L15" s="3"/>
      <c r="O15" s="64"/>
    </row>
    <row r="16" spans="1:15" x14ac:dyDescent="0.2">
      <c r="A16" s="64"/>
      <c r="C16" s="177" t="s">
        <v>181</v>
      </c>
      <c r="D16" s="177"/>
      <c r="E16" s="177"/>
      <c r="F16" s="177"/>
      <c r="G16" s="155">
        <f>P_PNEC_Aquatic_Inside</f>
        <v>1.7600000000000001E-2</v>
      </c>
      <c r="L16" s="3"/>
      <c r="O16" s="64"/>
    </row>
    <row r="17" spans="1:23" x14ac:dyDescent="0.2">
      <c r="A17" s="64"/>
      <c r="C17" s="177" t="s">
        <v>180</v>
      </c>
      <c r="D17" s="177"/>
      <c r="E17" s="177"/>
      <c r="F17" s="177"/>
      <c r="G17" s="155">
        <f>P_PNEC_Sediment_Inside</f>
        <v>8.5000000000000006E-3</v>
      </c>
      <c r="L17" s="3"/>
      <c r="O17" s="64"/>
    </row>
    <row r="18" spans="1:23" x14ac:dyDescent="0.2">
      <c r="A18" s="64"/>
      <c r="C18" s="177" t="s">
        <v>179</v>
      </c>
      <c r="D18" s="177"/>
      <c r="E18" s="177"/>
      <c r="F18" s="177"/>
      <c r="G18" s="155">
        <f>P_PNEC_Aquatic_Surrounding</f>
        <v>1.7600000000000001E-2</v>
      </c>
      <c r="L18" s="3"/>
      <c r="O18" s="64"/>
    </row>
    <row r="19" spans="1:23" x14ac:dyDescent="0.2">
      <c r="A19" s="64"/>
      <c r="C19" s="177" t="s">
        <v>178</v>
      </c>
      <c r="D19" s="177"/>
      <c r="E19" s="177"/>
      <c r="F19" s="177"/>
      <c r="G19" s="155">
        <f>P_PNEC_Sediment_Surrounding</f>
        <v>8.5000000000000006E-3</v>
      </c>
      <c r="L19" s="3"/>
      <c r="O19" s="64"/>
    </row>
    <row r="20" spans="1:23" x14ac:dyDescent="0.2">
      <c r="A20" s="64"/>
      <c r="L20" s="3"/>
      <c r="O20" s="64"/>
    </row>
    <row r="21" spans="1:23" x14ac:dyDescent="0.2">
      <c r="A21" s="64"/>
      <c r="C21" s="175" t="s">
        <v>56</v>
      </c>
      <c r="D21" s="175"/>
      <c r="E21" s="175"/>
      <c r="F21" s="175"/>
      <c r="G21" s="175"/>
      <c r="L21" s="3"/>
      <c r="O21" s="64"/>
    </row>
    <row r="22" spans="1:23" ht="25.5" x14ac:dyDescent="0.2">
      <c r="A22" s="64"/>
      <c r="F22" s="135" t="s">
        <v>174</v>
      </c>
      <c r="G22" s="135" t="s">
        <v>175</v>
      </c>
      <c r="L22" s="3"/>
      <c r="O22" s="64"/>
    </row>
    <row r="23" spans="1:23" x14ac:dyDescent="0.2">
      <c r="A23" s="64"/>
      <c r="C23" s="91" t="s">
        <v>185</v>
      </c>
      <c r="F23" s="136">
        <f>P_Background_SW_Freshwater</f>
        <v>0</v>
      </c>
      <c r="G23" s="136">
        <f>P_Background_Sed_Freshwater</f>
        <v>0</v>
      </c>
      <c r="L23" s="3"/>
      <c r="O23" s="64"/>
    </row>
    <row r="24" spans="1:23" x14ac:dyDescent="0.2">
      <c r="A24" s="64"/>
      <c r="L24" s="3"/>
      <c r="O24" s="78"/>
      <c r="P24" s="70"/>
      <c r="Q24" s="70"/>
    </row>
    <row r="25" spans="1:23" x14ac:dyDescent="0.2">
      <c r="A25" s="64"/>
      <c r="L25" s="3"/>
      <c r="O25" s="78"/>
      <c r="P25" s="70"/>
      <c r="Q25" s="70"/>
    </row>
    <row r="26" spans="1:23" x14ac:dyDescent="0.2">
      <c r="A26" s="64"/>
      <c r="C26" s="60" t="s">
        <v>86</v>
      </c>
      <c r="L26" s="3"/>
      <c r="O26" s="78"/>
      <c r="P26" s="70"/>
      <c r="Q26" s="70"/>
    </row>
    <row r="27" spans="1:23" ht="18.75" customHeight="1" x14ac:dyDescent="0.2">
      <c r="A27" s="64"/>
      <c r="O27" s="78"/>
      <c r="P27" s="70"/>
      <c r="Q27" s="70"/>
    </row>
    <row r="28" spans="1:23" ht="80.099999999999994" customHeight="1" x14ac:dyDescent="0.2">
      <c r="A28" s="64"/>
      <c r="C28" s="178" t="s">
        <v>185</v>
      </c>
      <c r="D28" s="179"/>
      <c r="E28" s="180"/>
      <c r="F28" s="137" t="s">
        <v>219</v>
      </c>
      <c r="G28" s="137" t="s">
        <v>220</v>
      </c>
      <c r="H28" s="137" t="s">
        <v>221</v>
      </c>
      <c r="I28" s="137" t="s">
        <v>222</v>
      </c>
      <c r="J28" s="137" t="s">
        <v>60</v>
      </c>
      <c r="K28" s="137" t="s">
        <v>214</v>
      </c>
      <c r="L28" s="137" t="s">
        <v>215</v>
      </c>
      <c r="M28" s="137" t="s">
        <v>216</v>
      </c>
      <c r="N28" s="72"/>
      <c r="O28" s="79"/>
      <c r="P28" s="72"/>
      <c r="Q28" s="70"/>
      <c r="S28" s="70"/>
      <c r="T28" s="62"/>
      <c r="U28" s="62"/>
      <c r="V28" s="62"/>
      <c r="W28" s="62"/>
    </row>
    <row r="29" spans="1:23" x14ac:dyDescent="0.2">
      <c r="A29" s="64"/>
      <c r="C29" s="178" t="s">
        <v>85</v>
      </c>
      <c r="D29" s="179"/>
      <c r="E29" s="180"/>
      <c r="F29" s="138" t="e">
        <f>'P_Output_EU marinas'!F58</f>
        <v>#DIV/0!</v>
      </c>
      <c r="G29" s="138" t="e">
        <f>'P_Output_EU marinas'!G58</f>
        <v>#DIV/0!</v>
      </c>
      <c r="H29" s="138" t="e">
        <f>'P_Output_EU marinas'!H58</f>
        <v>#DIV/0!</v>
      </c>
      <c r="I29" s="138" t="e">
        <f>'P_Output_EU marinas'!I58</f>
        <v>#DIV/0!</v>
      </c>
      <c r="J29" s="138" t="e">
        <f>'P_Output_EU marinas'!J58</f>
        <v>#DIV/0!</v>
      </c>
      <c r="K29" s="138" t="e">
        <f>'P_Output_EU marinas'!K58</f>
        <v>#DIV/0!</v>
      </c>
      <c r="L29" s="138" t="e">
        <f>'P_Output_EU marinas'!L58</f>
        <v>#DIV/0!</v>
      </c>
      <c r="M29" s="138" t="e">
        <f>'P_Output_EU marinas'!M58</f>
        <v>#DIV/0!</v>
      </c>
      <c r="N29" s="70"/>
      <c r="O29" s="78"/>
      <c r="P29" s="70"/>
      <c r="Q29" s="70"/>
      <c r="R29" s="70"/>
      <c r="S29" s="70"/>
    </row>
    <row r="30" spans="1:23" ht="12.75" customHeight="1" x14ac:dyDescent="0.2">
      <c r="A30" s="64"/>
      <c r="C30" s="178" t="s">
        <v>14</v>
      </c>
      <c r="D30" s="179"/>
      <c r="E30" s="180"/>
      <c r="F30" s="138" t="e">
        <f>'P_Output_EU marinas'!F59</f>
        <v>#DIV/0!</v>
      </c>
      <c r="G30" s="138" t="e">
        <f>'P_Output_EU marinas'!G59</f>
        <v>#DIV/0!</v>
      </c>
      <c r="H30" s="138" t="e">
        <f>'P_Output_EU marinas'!H59</f>
        <v>#DIV/0!</v>
      </c>
      <c r="I30" s="138" t="e">
        <f>'P_Output_EU marinas'!I59</f>
        <v>#DIV/0!</v>
      </c>
      <c r="J30" s="138" t="e">
        <f>'P_Output_EU marinas'!J59</f>
        <v>#DIV/0!</v>
      </c>
      <c r="K30" s="138" t="e">
        <f>'P_Output_EU marinas'!K59</f>
        <v>#DIV/0!</v>
      </c>
      <c r="L30" s="138" t="e">
        <f>'P_Output_EU marinas'!L59</f>
        <v>#DIV/0!</v>
      </c>
      <c r="M30" s="138" t="e">
        <f>'P_Output_EU marinas'!M59</f>
        <v>#DIV/0!</v>
      </c>
      <c r="O30" s="64"/>
    </row>
    <row r="31" spans="1:23" x14ac:dyDescent="0.2">
      <c r="A31" s="64"/>
      <c r="C31" s="178" t="s">
        <v>15</v>
      </c>
      <c r="D31" s="179"/>
      <c r="E31" s="180"/>
      <c r="F31" s="138" t="e">
        <f>'P_Output_EU marinas'!F60</f>
        <v>#DIV/0!</v>
      </c>
      <c r="G31" s="138" t="e">
        <f>'P_Output_EU marinas'!G60</f>
        <v>#DIV/0!</v>
      </c>
      <c r="H31" s="138" t="e">
        <f>'P_Output_EU marinas'!H60</f>
        <v>#DIV/0!</v>
      </c>
      <c r="I31" s="138" t="e">
        <f>'P_Output_EU marinas'!I60</f>
        <v>#DIV/0!</v>
      </c>
      <c r="J31" s="138" t="e">
        <f>'P_Output_EU marinas'!J60</f>
        <v>#DIV/0!</v>
      </c>
      <c r="K31" s="138" t="e">
        <f>'P_Output_EU marinas'!K60</f>
        <v>#DIV/0!</v>
      </c>
      <c r="L31" s="138" t="e">
        <f>'P_Output_EU marinas'!L60</f>
        <v>#DIV/0!</v>
      </c>
      <c r="M31" s="138" t="e">
        <f>'P_Output_EU marinas'!M60</f>
        <v>#DIV/0!</v>
      </c>
      <c r="O31" s="64"/>
    </row>
    <row r="32" spans="1:23" x14ac:dyDescent="0.2">
      <c r="A32" s="64"/>
      <c r="C32" s="70"/>
      <c r="D32" s="70"/>
      <c r="E32" s="70"/>
      <c r="F32" s="70"/>
      <c r="G32" s="70"/>
      <c r="H32" s="70"/>
      <c r="I32" s="70"/>
      <c r="O32" s="64"/>
    </row>
    <row r="33" spans="1:26" x14ac:dyDescent="0.2">
      <c r="A33" s="64"/>
      <c r="B33" s="64"/>
      <c r="C33" s="65"/>
      <c r="D33" s="64"/>
      <c r="E33" s="64"/>
      <c r="F33" s="64"/>
      <c r="G33" s="64"/>
      <c r="H33" s="64"/>
      <c r="I33" s="64"/>
      <c r="J33" s="64"/>
      <c r="K33" s="64"/>
      <c r="L33" s="64"/>
      <c r="M33" s="64"/>
      <c r="N33" s="64"/>
      <c r="O33" s="64"/>
      <c r="Q33" s="71"/>
      <c r="R33" s="71"/>
      <c r="S33" s="70"/>
      <c r="T33" s="70"/>
      <c r="U33" s="70"/>
      <c r="V33" s="70"/>
      <c r="W33" s="70"/>
      <c r="X33" s="70"/>
      <c r="Y33" s="15"/>
      <c r="Z33" s="3"/>
    </row>
    <row r="34" spans="1:26" x14ac:dyDescent="0.2">
      <c r="A34" s="64"/>
      <c r="C34" s="60" t="s">
        <v>87</v>
      </c>
      <c r="O34" s="64"/>
    </row>
    <row r="35" spans="1:26" x14ac:dyDescent="0.2">
      <c r="A35" s="64"/>
      <c r="B35" s="91"/>
      <c r="O35" s="64"/>
    </row>
    <row r="36" spans="1:26" x14ac:dyDescent="0.2">
      <c r="A36" s="64"/>
      <c r="C36" s="80" t="s">
        <v>81</v>
      </c>
      <c r="D36" s="113"/>
      <c r="E36" s="113"/>
      <c r="F36" s="113"/>
      <c r="G36" s="113"/>
      <c r="H36" s="113"/>
      <c r="O36" s="64"/>
    </row>
    <row r="37" spans="1:26" ht="105.95" customHeight="1" x14ac:dyDescent="0.2">
      <c r="A37" s="64"/>
      <c r="B37" s="91"/>
      <c r="C37" s="61" t="s">
        <v>9</v>
      </c>
      <c r="D37" s="181" t="s">
        <v>10</v>
      </c>
      <c r="E37" s="182"/>
      <c r="F37" s="137" t="s">
        <v>219</v>
      </c>
      <c r="G37" s="137" t="s">
        <v>220</v>
      </c>
      <c r="H37" s="137" t="s">
        <v>221</v>
      </c>
      <c r="I37" s="137" t="s">
        <v>222</v>
      </c>
      <c r="O37" s="64"/>
    </row>
    <row r="38" spans="1:26" x14ac:dyDescent="0.2">
      <c r="A38" s="64"/>
      <c r="C38" s="140" t="s">
        <v>106</v>
      </c>
      <c r="D38" s="140" t="s">
        <v>107</v>
      </c>
      <c r="E38" s="140">
        <v>1</v>
      </c>
      <c r="F38" s="138" t="e">
        <f>'P_EU Marinas_Scenario_Calc'!K21</f>
        <v>#DIV/0!</v>
      </c>
      <c r="G38" s="138" t="e">
        <f>'P_EU Marinas_Scenario_Calc'!L21</f>
        <v>#DIV/0!</v>
      </c>
      <c r="H38" s="138" t="e">
        <f>'P_EU Marinas_Scenario_Calc'!M21</f>
        <v>#DIV/0!</v>
      </c>
      <c r="I38" s="138" t="e">
        <f>'P_EU Marinas_Scenario_Calc'!N21</f>
        <v>#DIV/0!</v>
      </c>
      <c r="O38" s="64"/>
    </row>
    <row r="39" spans="1:26" x14ac:dyDescent="0.2">
      <c r="A39" s="64"/>
      <c r="C39" s="140" t="s">
        <v>108</v>
      </c>
      <c r="D39" s="140" t="s">
        <v>107</v>
      </c>
      <c r="E39" s="140">
        <v>2</v>
      </c>
      <c r="F39" s="138" t="e">
        <f>'P_EU Marinas_Scenario_Calc'!K22</f>
        <v>#DIV/0!</v>
      </c>
      <c r="G39" s="138" t="e">
        <f>'P_EU Marinas_Scenario_Calc'!L22</f>
        <v>#DIV/0!</v>
      </c>
      <c r="H39" s="138" t="e">
        <f>'P_EU Marinas_Scenario_Calc'!M22</f>
        <v>#DIV/0!</v>
      </c>
      <c r="I39" s="138" t="e">
        <f>'P_EU Marinas_Scenario_Calc'!N22</f>
        <v>#DIV/0!</v>
      </c>
      <c r="O39" s="64"/>
    </row>
    <row r="40" spans="1:26" x14ac:dyDescent="0.2">
      <c r="A40" s="64"/>
      <c r="C40" s="140" t="s">
        <v>109</v>
      </c>
      <c r="D40" s="140" t="s">
        <v>107</v>
      </c>
      <c r="E40" s="140">
        <v>3</v>
      </c>
      <c r="F40" s="138" t="e">
        <f>'P_EU Marinas_Scenario_Calc'!K23</f>
        <v>#DIV/0!</v>
      </c>
      <c r="G40" s="138" t="e">
        <f>'P_EU Marinas_Scenario_Calc'!L23</f>
        <v>#DIV/0!</v>
      </c>
      <c r="H40" s="138" t="e">
        <f>'P_EU Marinas_Scenario_Calc'!M23</f>
        <v>#DIV/0!</v>
      </c>
      <c r="I40" s="138" t="e">
        <f>'P_EU Marinas_Scenario_Calc'!N23</f>
        <v>#DIV/0!</v>
      </c>
      <c r="O40" s="64"/>
    </row>
    <row r="41" spans="1:26" x14ac:dyDescent="0.2">
      <c r="A41" s="64"/>
      <c r="C41" s="140" t="s">
        <v>110</v>
      </c>
      <c r="D41" s="140" t="s">
        <v>107</v>
      </c>
      <c r="E41" s="140">
        <v>4</v>
      </c>
      <c r="F41" s="138" t="e">
        <f>'P_EU Marinas_Scenario_Calc'!K24</f>
        <v>#DIV/0!</v>
      </c>
      <c r="G41" s="138" t="e">
        <f>'P_EU Marinas_Scenario_Calc'!L24</f>
        <v>#DIV/0!</v>
      </c>
      <c r="H41" s="138" t="e">
        <f>'P_EU Marinas_Scenario_Calc'!M24</f>
        <v>#DIV/0!</v>
      </c>
      <c r="I41" s="138" t="e">
        <f>'P_EU Marinas_Scenario_Calc'!N24</f>
        <v>#DIV/0!</v>
      </c>
      <c r="O41" s="64"/>
    </row>
    <row r="42" spans="1:26" x14ac:dyDescent="0.2">
      <c r="A42" s="64"/>
      <c r="C42" s="140" t="s">
        <v>111</v>
      </c>
      <c r="D42" s="140" t="s">
        <v>107</v>
      </c>
      <c r="E42" s="140">
        <v>5</v>
      </c>
      <c r="F42" s="138" t="e">
        <f>'P_EU Marinas_Scenario_Calc'!K25</f>
        <v>#DIV/0!</v>
      </c>
      <c r="G42" s="138" t="e">
        <f>'P_EU Marinas_Scenario_Calc'!L25</f>
        <v>#DIV/0!</v>
      </c>
      <c r="H42" s="138" t="e">
        <f>'P_EU Marinas_Scenario_Calc'!M25</f>
        <v>#DIV/0!</v>
      </c>
      <c r="I42" s="138" t="e">
        <f>'P_EU Marinas_Scenario_Calc'!N25</f>
        <v>#DIV/0!</v>
      </c>
      <c r="O42" s="64"/>
    </row>
    <row r="43" spans="1:26" x14ac:dyDescent="0.2">
      <c r="A43" s="64"/>
      <c r="C43" s="140" t="s">
        <v>112</v>
      </c>
      <c r="D43" s="140" t="s">
        <v>107</v>
      </c>
      <c r="E43" s="140">
        <v>6</v>
      </c>
      <c r="F43" s="138" t="e">
        <f>'P_EU Marinas_Scenario_Calc'!K26</f>
        <v>#DIV/0!</v>
      </c>
      <c r="G43" s="138" t="e">
        <f>'P_EU Marinas_Scenario_Calc'!L26</f>
        <v>#DIV/0!</v>
      </c>
      <c r="H43" s="138" t="e">
        <f>'P_EU Marinas_Scenario_Calc'!M26</f>
        <v>#DIV/0!</v>
      </c>
      <c r="I43" s="138" t="e">
        <f>'P_EU Marinas_Scenario_Calc'!N26</f>
        <v>#DIV/0!</v>
      </c>
      <c r="O43" s="64"/>
    </row>
    <row r="44" spans="1:26" x14ac:dyDescent="0.2">
      <c r="A44" s="64"/>
      <c r="C44" s="140" t="s">
        <v>113</v>
      </c>
      <c r="D44" s="140" t="s">
        <v>107</v>
      </c>
      <c r="E44" s="140">
        <v>7</v>
      </c>
      <c r="F44" s="138" t="e">
        <f>'P_EU Marinas_Scenario_Calc'!K27</f>
        <v>#DIV/0!</v>
      </c>
      <c r="G44" s="138" t="e">
        <f>'P_EU Marinas_Scenario_Calc'!L27</f>
        <v>#DIV/0!</v>
      </c>
      <c r="H44" s="138" t="e">
        <f>'P_EU Marinas_Scenario_Calc'!M27</f>
        <v>#DIV/0!</v>
      </c>
      <c r="I44" s="138" t="e">
        <f>'P_EU Marinas_Scenario_Calc'!N27</f>
        <v>#DIV/0!</v>
      </c>
      <c r="O44" s="64"/>
    </row>
    <row r="45" spans="1:26" x14ac:dyDescent="0.2">
      <c r="A45" s="64"/>
      <c r="C45" s="140" t="s">
        <v>114</v>
      </c>
      <c r="D45" s="140" t="s">
        <v>115</v>
      </c>
      <c r="E45" s="140">
        <v>2</v>
      </c>
      <c r="F45" s="138" t="e">
        <f>'P_EU Marinas_Scenario_Calc'!K28</f>
        <v>#DIV/0!</v>
      </c>
      <c r="G45" s="138" t="e">
        <f>'P_EU Marinas_Scenario_Calc'!L28</f>
        <v>#DIV/0!</v>
      </c>
      <c r="H45" s="138" t="e">
        <f>'P_EU Marinas_Scenario_Calc'!M28</f>
        <v>#DIV/0!</v>
      </c>
      <c r="I45" s="138" t="e">
        <f>'P_EU Marinas_Scenario_Calc'!N28</f>
        <v>#DIV/0!</v>
      </c>
      <c r="O45" s="64"/>
    </row>
    <row r="46" spans="1:26" x14ac:dyDescent="0.2">
      <c r="A46" s="64"/>
      <c r="C46" s="140" t="s">
        <v>116</v>
      </c>
      <c r="D46" s="140" t="s">
        <v>115</v>
      </c>
      <c r="E46" s="140">
        <v>3</v>
      </c>
      <c r="F46" s="138" t="e">
        <f>'P_EU Marinas_Scenario_Calc'!K29</f>
        <v>#DIV/0!</v>
      </c>
      <c r="G46" s="138" t="e">
        <f>'P_EU Marinas_Scenario_Calc'!L29</f>
        <v>#DIV/0!</v>
      </c>
      <c r="H46" s="138" t="e">
        <f>'P_EU Marinas_Scenario_Calc'!M29</f>
        <v>#DIV/0!</v>
      </c>
      <c r="I46" s="138" t="e">
        <f>'P_EU Marinas_Scenario_Calc'!N29</f>
        <v>#DIV/0!</v>
      </c>
      <c r="O46" s="64"/>
    </row>
    <row r="47" spans="1:26" x14ac:dyDescent="0.2">
      <c r="A47" s="64"/>
      <c r="C47" s="140" t="s">
        <v>117</v>
      </c>
      <c r="D47" s="140" t="s">
        <v>115</v>
      </c>
      <c r="E47" s="140">
        <v>5</v>
      </c>
      <c r="F47" s="138" t="e">
        <f>'P_EU Marinas_Scenario_Calc'!K30</f>
        <v>#DIV/0!</v>
      </c>
      <c r="G47" s="138" t="e">
        <f>'P_EU Marinas_Scenario_Calc'!L30</f>
        <v>#DIV/0!</v>
      </c>
      <c r="H47" s="138" t="e">
        <f>'P_EU Marinas_Scenario_Calc'!M30</f>
        <v>#DIV/0!</v>
      </c>
      <c r="I47" s="138" t="e">
        <f>'P_EU Marinas_Scenario_Calc'!N30</f>
        <v>#DIV/0!</v>
      </c>
      <c r="O47" s="64"/>
    </row>
    <row r="48" spans="1:26" x14ac:dyDescent="0.2">
      <c r="A48" s="64"/>
      <c r="C48" s="140" t="s">
        <v>118</v>
      </c>
      <c r="D48" s="140" t="s">
        <v>115</v>
      </c>
      <c r="E48" s="140">
        <v>6</v>
      </c>
      <c r="F48" s="138" t="e">
        <f>'P_EU Marinas_Scenario_Calc'!K31</f>
        <v>#DIV/0!</v>
      </c>
      <c r="G48" s="138" t="e">
        <f>'P_EU Marinas_Scenario_Calc'!L31</f>
        <v>#DIV/0!</v>
      </c>
      <c r="H48" s="138" t="e">
        <f>'P_EU Marinas_Scenario_Calc'!M31</f>
        <v>#DIV/0!</v>
      </c>
      <c r="I48" s="138" t="e">
        <f>'P_EU Marinas_Scenario_Calc'!N31</f>
        <v>#DIV/0!</v>
      </c>
      <c r="O48" s="64"/>
    </row>
    <row r="49" spans="1:15" x14ac:dyDescent="0.2">
      <c r="A49" s="64"/>
      <c r="C49" s="140" t="s">
        <v>119</v>
      </c>
      <c r="D49" s="140" t="s">
        <v>115</v>
      </c>
      <c r="E49" s="140">
        <v>11</v>
      </c>
      <c r="F49" s="138" t="e">
        <f>'P_EU Marinas_Scenario_Calc'!K32</f>
        <v>#DIV/0!</v>
      </c>
      <c r="G49" s="138" t="e">
        <f>'P_EU Marinas_Scenario_Calc'!L32</f>
        <v>#DIV/0!</v>
      </c>
      <c r="H49" s="138" t="e">
        <f>'P_EU Marinas_Scenario_Calc'!M32</f>
        <v>#DIV/0!</v>
      </c>
      <c r="I49" s="138" t="e">
        <f>'P_EU Marinas_Scenario_Calc'!N32</f>
        <v>#DIV/0!</v>
      </c>
      <c r="O49" s="64"/>
    </row>
    <row r="50" spans="1:15" x14ac:dyDescent="0.2">
      <c r="A50" s="64"/>
      <c r="C50" s="140" t="s">
        <v>120</v>
      </c>
      <c r="D50" s="140" t="s">
        <v>115</v>
      </c>
      <c r="E50" s="140">
        <v>12</v>
      </c>
      <c r="F50" s="138" t="e">
        <f>'P_EU Marinas_Scenario_Calc'!K33</f>
        <v>#DIV/0!</v>
      </c>
      <c r="G50" s="138" t="e">
        <f>'P_EU Marinas_Scenario_Calc'!L33</f>
        <v>#DIV/0!</v>
      </c>
      <c r="H50" s="138" t="e">
        <f>'P_EU Marinas_Scenario_Calc'!M33</f>
        <v>#DIV/0!</v>
      </c>
      <c r="I50" s="138" t="e">
        <f>'P_EU Marinas_Scenario_Calc'!N33</f>
        <v>#DIV/0!</v>
      </c>
      <c r="O50" s="64"/>
    </row>
    <row r="51" spans="1:15" x14ac:dyDescent="0.2">
      <c r="A51" s="64"/>
      <c r="C51" s="140" t="s">
        <v>121</v>
      </c>
      <c r="D51" s="140" t="s">
        <v>12</v>
      </c>
      <c r="E51" s="140" t="s">
        <v>122</v>
      </c>
      <c r="F51" s="138" t="e">
        <f>'P_EU Marinas_Scenario_Calc'!K34</f>
        <v>#DIV/0!</v>
      </c>
      <c r="G51" s="138" t="e">
        <f>'P_EU Marinas_Scenario_Calc'!L34</f>
        <v>#DIV/0!</v>
      </c>
      <c r="H51" s="138" t="e">
        <f>'P_EU Marinas_Scenario_Calc'!M34</f>
        <v>#DIV/0!</v>
      </c>
      <c r="I51" s="138" t="e">
        <f>'P_EU Marinas_Scenario_Calc'!N34</f>
        <v>#DIV/0!</v>
      </c>
      <c r="O51" s="64"/>
    </row>
    <row r="52" spans="1:15" x14ac:dyDescent="0.2">
      <c r="A52" s="64"/>
      <c r="C52" s="140" t="s">
        <v>123</v>
      </c>
      <c r="D52" s="140" t="s">
        <v>12</v>
      </c>
      <c r="E52" s="140" t="s">
        <v>124</v>
      </c>
      <c r="F52" s="138" t="e">
        <f>'P_EU Marinas_Scenario_Calc'!K35</f>
        <v>#DIV/0!</v>
      </c>
      <c r="G52" s="138" t="e">
        <f>'P_EU Marinas_Scenario_Calc'!L35</f>
        <v>#DIV/0!</v>
      </c>
      <c r="H52" s="138" t="e">
        <f>'P_EU Marinas_Scenario_Calc'!M35</f>
        <v>#DIV/0!</v>
      </c>
      <c r="I52" s="138" t="e">
        <f>'P_EU Marinas_Scenario_Calc'!N35</f>
        <v>#DIV/0!</v>
      </c>
      <c r="O52" s="64"/>
    </row>
    <row r="53" spans="1:15" x14ac:dyDescent="0.2">
      <c r="A53" s="64"/>
      <c r="C53" s="140" t="s">
        <v>125</v>
      </c>
      <c r="D53" s="140" t="s">
        <v>12</v>
      </c>
      <c r="E53" s="140" t="s">
        <v>126</v>
      </c>
      <c r="F53" s="138" t="e">
        <f>'P_EU Marinas_Scenario_Calc'!K36</f>
        <v>#DIV/0!</v>
      </c>
      <c r="G53" s="138" t="e">
        <f>'P_EU Marinas_Scenario_Calc'!L36</f>
        <v>#DIV/0!</v>
      </c>
      <c r="H53" s="138" t="e">
        <f>'P_EU Marinas_Scenario_Calc'!M36</f>
        <v>#DIV/0!</v>
      </c>
      <c r="I53" s="138" t="e">
        <f>'P_EU Marinas_Scenario_Calc'!N36</f>
        <v>#DIV/0!</v>
      </c>
      <c r="O53" s="64"/>
    </row>
    <row r="54" spans="1:15" x14ac:dyDescent="0.2">
      <c r="A54" s="64"/>
      <c r="C54" s="140" t="s">
        <v>127</v>
      </c>
      <c r="D54" s="140" t="s">
        <v>12</v>
      </c>
      <c r="E54" s="140" t="s">
        <v>128</v>
      </c>
      <c r="F54" s="138" t="e">
        <f>'P_EU Marinas_Scenario_Calc'!K37</f>
        <v>#DIV/0!</v>
      </c>
      <c r="G54" s="138" t="e">
        <f>'P_EU Marinas_Scenario_Calc'!L37</f>
        <v>#DIV/0!</v>
      </c>
      <c r="H54" s="138" t="e">
        <f>'P_EU Marinas_Scenario_Calc'!M37</f>
        <v>#DIV/0!</v>
      </c>
      <c r="I54" s="138" t="e">
        <f>'P_EU Marinas_Scenario_Calc'!N37</f>
        <v>#DIV/0!</v>
      </c>
      <c r="O54" s="64"/>
    </row>
    <row r="55" spans="1:15" x14ac:dyDescent="0.2">
      <c r="A55" s="64"/>
      <c r="C55" s="140" t="s">
        <v>129</v>
      </c>
      <c r="D55" s="140" t="s">
        <v>12</v>
      </c>
      <c r="E55" s="140" t="s">
        <v>130</v>
      </c>
      <c r="F55" s="138" t="e">
        <f>'P_EU Marinas_Scenario_Calc'!K38</f>
        <v>#DIV/0!</v>
      </c>
      <c r="G55" s="138" t="e">
        <f>'P_EU Marinas_Scenario_Calc'!L38</f>
        <v>#DIV/0!</v>
      </c>
      <c r="H55" s="138" t="e">
        <f>'P_EU Marinas_Scenario_Calc'!M38</f>
        <v>#DIV/0!</v>
      </c>
      <c r="I55" s="138" t="e">
        <f>'P_EU Marinas_Scenario_Calc'!N38</f>
        <v>#DIV/0!</v>
      </c>
      <c r="O55" s="64"/>
    </row>
    <row r="56" spans="1:15" x14ac:dyDescent="0.2">
      <c r="A56" s="64"/>
      <c r="C56" s="140" t="s">
        <v>131</v>
      </c>
      <c r="D56" s="140" t="s">
        <v>12</v>
      </c>
      <c r="E56" s="140" t="s">
        <v>132</v>
      </c>
      <c r="F56" s="138" t="e">
        <f>'P_EU Marinas_Scenario_Calc'!K39</f>
        <v>#DIV/0!</v>
      </c>
      <c r="G56" s="138" t="e">
        <f>'P_EU Marinas_Scenario_Calc'!L39</f>
        <v>#DIV/0!</v>
      </c>
      <c r="H56" s="138" t="e">
        <f>'P_EU Marinas_Scenario_Calc'!M39</f>
        <v>#DIV/0!</v>
      </c>
      <c r="I56" s="138" t="e">
        <f>'P_EU Marinas_Scenario_Calc'!N39</f>
        <v>#DIV/0!</v>
      </c>
      <c r="O56" s="64"/>
    </row>
    <row r="57" spans="1:15" x14ac:dyDescent="0.2">
      <c r="A57" s="64"/>
      <c r="C57" s="140" t="s">
        <v>133</v>
      </c>
      <c r="D57" s="140" t="s">
        <v>12</v>
      </c>
      <c r="E57" s="140" t="s">
        <v>134</v>
      </c>
      <c r="F57" s="138" t="e">
        <f>'P_EU Marinas_Scenario_Calc'!K40</f>
        <v>#DIV/0!</v>
      </c>
      <c r="G57" s="138" t="e">
        <f>'P_EU Marinas_Scenario_Calc'!L40</f>
        <v>#DIV/0!</v>
      </c>
      <c r="H57" s="138" t="e">
        <f>'P_EU Marinas_Scenario_Calc'!M40</f>
        <v>#DIV/0!</v>
      </c>
      <c r="I57" s="138" t="e">
        <f>'P_EU Marinas_Scenario_Calc'!N40</f>
        <v>#DIV/0!</v>
      </c>
      <c r="O57" s="64"/>
    </row>
    <row r="58" spans="1:15" x14ac:dyDescent="0.2">
      <c r="A58" s="64"/>
      <c r="C58" s="140" t="s">
        <v>135</v>
      </c>
      <c r="D58" s="140" t="s">
        <v>12</v>
      </c>
      <c r="E58" s="140" t="s">
        <v>136</v>
      </c>
      <c r="F58" s="138" t="e">
        <f>'P_EU Marinas_Scenario_Calc'!K41</f>
        <v>#DIV/0!</v>
      </c>
      <c r="G58" s="138" t="e">
        <f>'P_EU Marinas_Scenario_Calc'!L41</f>
        <v>#DIV/0!</v>
      </c>
      <c r="H58" s="138" t="e">
        <f>'P_EU Marinas_Scenario_Calc'!M41</f>
        <v>#DIV/0!</v>
      </c>
      <c r="I58" s="138" t="e">
        <f>'P_EU Marinas_Scenario_Calc'!N41</f>
        <v>#DIV/0!</v>
      </c>
      <c r="O58" s="64"/>
    </row>
    <row r="59" spans="1:15" x14ac:dyDescent="0.2">
      <c r="A59" s="64"/>
      <c r="C59" s="140" t="s">
        <v>137</v>
      </c>
      <c r="D59" s="140" t="s">
        <v>12</v>
      </c>
      <c r="E59" s="140" t="s">
        <v>138</v>
      </c>
      <c r="F59" s="138" t="e">
        <f>'P_EU Marinas_Scenario_Calc'!K42</f>
        <v>#DIV/0!</v>
      </c>
      <c r="G59" s="138" t="e">
        <f>'P_EU Marinas_Scenario_Calc'!L42</f>
        <v>#DIV/0!</v>
      </c>
      <c r="H59" s="138" t="e">
        <f>'P_EU Marinas_Scenario_Calc'!M42</f>
        <v>#DIV/0!</v>
      </c>
      <c r="I59" s="138" t="e">
        <f>'P_EU Marinas_Scenario_Calc'!N42</f>
        <v>#DIV/0!</v>
      </c>
      <c r="O59" s="64"/>
    </row>
    <row r="60" spans="1:15" x14ac:dyDescent="0.2">
      <c r="A60" s="64"/>
      <c r="C60" s="140" t="s">
        <v>139</v>
      </c>
      <c r="D60" s="140" t="s">
        <v>12</v>
      </c>
      <c r="E60" s="140" t="s">
        <v>140</v>
      </c>
      <c r="F60" s="138" t="e">
        <f>'P_EU Marinas_Scenario_Calc'!K43</f>
        <v>#DIV/0!</v>
      </c>
      <c r="G60" s="138" t="e">
        <f>'P_EU Marinas_Scenario_Calc'!L43</f>
        <v>#DIV/0!</v>
      </c>
      <c r="H60" s="138" t="e">
        <f>'P_EU Marinas_Scenario_Calc'!M43</f>
        <v>#DIV/0!</v>
      </c>
      <c r="I60" s="138" t="e">
        <f>'P_EU Marinas_Scenario_Calc'!N43</f>
        <v>#DIV/0!</v>
      </c>
      <c r="O60" s="64"/>
    </row>
    <row r="61" spans="1:15" x14ac:dyDescent="0.2">
      <c r="A61" s="64"/>
      <c r="C61" s="140" t="s">
        <v>141</v>
      </c>
      <c r="D61" s="140" t="s">
        <v>13</v>
      </c>
      <c r="E61" s="140">
        <v>1</v>
      </c>
      <c r="F61" s="138" t="e">
        <f>'P_EU Marinas_Scenario_Calc'!K44</f>
        <v>#DIV/0!</v>
      </c>
      <c r="G61" s="138" t="e">
        <f>'P_EU Marinas_Scenario_Calc'!L44</f>
        <v>#DIV/0!</v>
      </c>
      <c r="H61" s="138" t="e">
        <f>'P_EU Marinas_Scenario_Calc'!M44</f>
        <v>#DIV/0!</v>
      </c>
      <c r="I61" s="138" t="e">
        <f>'P_EU Marinas_Scenario_Calc'!N44</f>
        <v>#DIV/0!</v>
      </c>
      <c r="O61" s="64"/>
    </row>
    <row r="62" spans="1:15" x14ac:dyDescent="0.2">
      <c r="A62" s="64"/>
      <c r="C62" s="140" t="s">
        <v>142</v>
      </c>
      <c r="D62" s="140" t="s">
        <v>13</v>
      </c>
      <c r="E62" s="140">
        <v>3</v>
      </c>
      <c r="F62" s="138" t="e">
        <f>'P_EU Marinas_Scenario_Calc'!K45</f>
        <v>#DIV/0!</v>
      </c>
      <c r="G62" s="138" t="e">
        <f>'P_EU Marinas_Scenario_Calc'!L45</f>
        <v>#DIV/0!</v>
      </c>
      <c r="H62" s="138" t="e">
        <f>'P_EU Marinas_Scenario_Calc'!M45</f>
        <v>#DIV/0!</v>
      </c>
      <c r="I62" s="138" t="e">
        <f>'P_EU Marinas_Scenario_Calc'!N45</f>
        <v>#DIV/0!</v>
      </c>
      <c r="O62" s="64"/>
    </row>
    <row r="63" spans="1:15" x14ac:dyDescent="0.2">
      <c r="A63" s="64"/>
      <c r="C63" s="140" t="s">
        <v>143</v>
      </c>
      <c r="D63" s="140" t="s">
        <v>13</v>
      </c>
      <c r="E63" s="140">
        <v>4</v>
      </c>
      <c r="F63" s="138" t="e">
        <f>'P_EU Marinas_Scenario_Calc'!K46</f>
        <v>#DIV/0!</v>
      </c>
      <c r="G63" s="138" t="e">
        <f>'P_EU Marinas_Scenario_Calc'!L46</f>
        <v>#DIV/0!</v>
      </c>
      <c r="H63" s="138" t="e">
        <f>'P_EU Marinas_Scenario_Calc'!M46</f>
        <v>#DIV/0!</v>
      </c>
      <c r="I63" s="138" t="e">
        <f>'P_EU Marinas_Scenario_Calc'!N46</f>
        <v>#DIV/0!</v>
      </c>
      <c r="O63" s="64"/>
    </row>
    <row r="64" spans="1:15" x14ac:dyDescent="0.2">
      <c r="A64" s="64"/>
      <c r="C64" s="140" t="s">
        <v>144</v>
      </c>
      <c r="D64" s="140" t="s">
        <v>13</v>
      </c>
      <c r="E64" s="140">
        <v>6</v>
      </c>
      <c r="F64" s="138" t="e">
        <f>'P_EU Marinas_Scenario_Calc'!K47</f>
        <v>#DIV/0!</v>
      </c>
      <c r="G64" s="138" t="e">
        <f>'P_EU Marinas_Scenario_Calc'!L47</f>
        <v>#DIV/0!</v>
      </c>
      <c r="H64" s="138" t="e">
        <f>'P_EU Marinas_Scenario_Calc'!M47</f>
        <v>#DIV/0!</v>
      </c>
      <c r="I64" s="138" t="e">
        <f>'P_EU Marinas_Scenario_Calc'!N47</f>
        <v>#DIV/0!</v>
      </c>
      <c r="O64" s="64"/>
    </row>
    <row r="65" spans="1:15" x14ac:dyDescent="0.2">
      <c r="A65" s="64"/>
      <c r="C65" s="140" t="s">
        <v>145</v>
      </c>
      <c r="D65" s="140" t="s">
        <v>13</v>
      </c>
      <c r="E65" s="140">
        <v>7</v>
      </c>
      <c r="F65" s="138" t="e">
        <f>'P_EU Marinas_Scenario_Calc'!K48</f>
        <v>#DIV/0!</v>
      </c>
      <c r="G65" s="138" t="e">
        <f>'P_EU Marinas_Scenario_Calc'!L48</f>
        <v>#DIV/0!</v>
      </c>
      <c r="H65" s="138" t="e">
        <f>'P_EU Marinas_Scenario_Calc'!M48</f>
        <v>#DIV/0!</v>
      </c>
      <c r="I65" s="138" t="e">
        <f>'P_EU Marinas_Scenario_Calc'!N48</f>
        <v>#DIV/0!</v>
      </c>
      <c r="O65" s="64"/>
    </row>
    <row r="66" spans="1:15" x14ac:dyDescent="0.2">
      <c r="A66" s="64"/>
      <c r="C66" s="140" t="s">
        <v>146</v>
      </c>
      <c r="D66" s="140" t="s">
        <v>13</v>
      </c>
      <c r="E66" s="140">
        <v>8</v>
      </c>
      <c r="F66" s="138" t="e">
        <f>'P_EU Marinas_Scenario_Calc'!K49</f>
        <v>#DIV/0!</v>
      </c>
      <c r="G66" s="138" t="e">
        <f>'P_EU Marinas_Scenario_Calc'!L49</f>
        <v>#DIV/0!</v>
      </c>
      <c r="H66" s="138" t="e">
        <f>'P_EU Marinas_Scenario_Calc'!M49</f>
        <v>#DIV/0!</v>
      </c>
      <c r="I66" s="138" t="e">
        <f>'P_EU Marinas_Scenario_Calc'!N49</f>
        <v>#DIV/0!</v>
      </c>
      <c r="O66" s="64"/>
    </row>
    <row r="67" spans="1:15" x14ac:dyDescent="0.2">
      <c r="A67" s="64"/>
      <c r="C67" s="140" t="s">
        <v>147</v>
      </c>
      <c r="D67" s="140" t="s">
        <v>13</v>
      </c>
      <c r="E67" s="140">
        <v>14</v>
      </c>
      <c r="F67" s="138" t="e">
        <f>'P_EU Marinas_Scenario_Calc'!K50</f>
        <v>#DIV/0!</v>
      </c>
      <c r="G67" s="138" t="e">
        <f>'P_EU Marinas_Scenario_Calc'!L50</f>
        <v>#DIV/0!</v>
      </c>
      <c r="H67" s="138" t="e">
        <f>'P_EU Marinas_Scenario_Calc'!M50</f>
        <v>#DIV/0!</v>
      </c>
      <c r="I67" s="138" t="e">
        <f>'P_EU Marinas_Scenario_Calc'!N50</f>
        <v>#DIV/0!</v>
      </c>
      <c r="O67" s="64"/>
    </row>
    <row r="68" spans="1:15" x14ac:dyDescent="0.2">
      <c r="A68" s="64"/>
      <c r="C68" s="140" t="s">
        <v>148</v>
      </c>
      <c r="D68" s="140" t="s">
        <v>13</v>
      </c>
      <c r="E68" s="140">
        <v>17</v>
      </c>
      <c r="F68" s="138" t="e">
        <f>'P_EU Marinas_Scenario_Calc'!K51</f>
        <v>#DIV/0!</v>
      </c>
      <c r="G68" s="138" t="e">
        <f>'P_EU Marinas_Scenario_Calc'!L51</f>
        <v>#DIV/0!</v>
      </c>
      <c r="H68" s="138" t="e">
        <f>'P_EU Marinas_Scenario_Calc'!M51</f>
        <v>#DIV/0!</v>
      </c>
      <c r="I68" s="138" t="e">
        <f>'P_EU Marinas_Scenario_Calc'!N51</f>
        <v>#DIV/0!</v>
      </c>
      <c r="O68" s="64"/>
    </row>
    <row r="69" spans="1:15" x14ac:dyDescent="0.2">
      <c r="A69" s="64"/>
      <c r="C69" s="140" t="s">
        <v>149</v>
      </c>
      <c r="D69" s="140" t="s">
        <v>13</v>
      </c>
      <c r="E69" s="140">
        <v>21</v>
      </c>
      <c r="F69" s="138" t="e">
        <f>'P_EU Marinas_Scenario_Calc'!K52</f>
        <v>#DIV/0!</v>
      </c>
      <c r="G69" s="138" t="e">
        <f>'P_EU Marinas_Scenario_Calc'!L52</f>
        <v>#DIV/0!</v>
      </c>
      <c r="H69" s="138" t="e">
        <f>'P_EU Marinas_Scenario_Calc'!M52</f>
        <v>#DIV/0!</v>
      </c>
      <c r="I69" s="138" t="e">
        <f>'P_EU Marinas_Scenario_Calc'!N52</f>
        <v>#DIV/0!</v>
      </c>
      <c r="O69" s="64"/>
    </row>
    <row r="70" spans="1:15" x14ac:dyDescent="0.2">
      <c r="A70" s="64"/>
      <c r="C70" s="140" t="s">
        <v>150</v>
      </c>
      <c r="D70" s="140" t="s">
        <v>13</v>
      </c>
      <c r="E70" s="140">
        <v>26</v>
      </c>
      <c r="F70" s="138" t="e">
        <f>'P_EU Marinas_Scenario_Calc'!K53</f>
        <v>#DIV/0!</v>
      </c>
      <c r="G70" s="138" t="e">
        <f>'P_EU Marinas_Scenario_Calc'!L53</f>
        <v>#DIV/0!</v>
      </c>
      <c r="H70" s="138" t="e">
        <f>'P_EU Marinas_Scenario_Calc'!M53</f>
        <v>#DIV/0!</v>
      </c>
      <c r="I70" s="138" t="e">
        <f>'P_EU Marinas_Scenario_Calc'!N53</f>
        <v>#DIV/0!</v>
      </c>
      <c r="O70" s="64"/>
    </row>
    <row r="71" spans="1:15" x14ac:dyDescent="0.2">
      <c r="A71" s="64"/>
      <c r="C71" s="140" t="s">
        <v>151</v>
      </c>
      <c r="D71" s="140" t="s">
        <v>13</v>
      </c>
      <c r="E71" s="140">
        <v>30</v>
      </c>
      <c r="F71" s="138" t="e">
        <f>'P_EU Marinas_Scenario_Calc'!K54</f>
        <v>#DIV/0!</v>
      </c>
      <c r="G71" s="138" t="e">
        <f>'P_EU Marinas_Scenario_Calc'!L54</f>
        <v>#DIV/0!</v>
      </c>
      <c r="H71" s="138" t="e">
        <f>'P_EU Marinas_Scenario_Calc'!M54</f>
        <v>#DIV/0!</v>
      </c>
      <c r="I71" s="138" t="e">
        <f>'P_EU Marinas_Scenario_Calc'!N54</f>
        <v>#DIV/0!</v>
      </c>
      <c r="O71" s="64"/>
    </row>
    <row r="72" spans="1:15" x14ac:dyDescent="0.2">
      <c r="A72" s="64"/>
      <c r="C72" s="140" t="s">
        <v>152</v>
      </c>
      <c r="D72" s="140" t="s">
        <v>13</v>
      </c>
      <c r="E72" s="140">
        <v>34</v>
      </c>
      <c r="F72" s="138" t="e">
        <f>'P_EU Marinas_Scenario_Calc'!K55</f>
        <v>#DIV/0!</v>
      </c>
      <c r="G72" s="138" t="e">
        <f>'P_EU Marinas_Scenario_Calc'!L55</f>
        <v>#DIV/0!</v>
      </c>
      <c r="H72" s="138" t="e">
        <f>'P_EU Marinas_Scenario_Calc'!M55</f>
        <v>#DIV/0!</v>
      </c>
      <c r="I72" s="138" t="e">
        <f>'P_EU Marinas_Scenario_Calc'!N55</f>
        <v>#DIV/0!</v>
      </c>
      <c r="O72" s="64"/>
    </row>
    <row r="73" spans="1:15" x14ac:dyDescent="0.2">
      <c r="A73" s="64"/>
      <c r="C73" s="140" t="s">
        <v>153</v>
      </c>
      <c r="D73" s="140" t="s">
        <v>13</v>
      </c>
      <c r="E73" s="140">
        <v>40</v>
      </c>
      <c r="F73" s="138" t="e">
        <f>'P_EU Marinas_Scenario_Calc'!K56</f>
        <v>#DIV/0!</v>
      </c>
      <c r="G73" s="138" t="e">
        <f>'P_EU Marinas_Scenario_Calc'!L56</f>
        <v>#DIV/0!</v>
      </c>
      <c r="H73" s="138" t="e">
        <f>'P_EU Marinas_Scenario_Calc'!M56</f>
        <v>#DIV/0!</v>
      </c>
      <c r="I73" s="138" t="e">
        <f>'P_EU Marinas_Scenario_Calc'!N56</f>
        <v>#DIV/0!</v>
      </c>
      <c r="O73" s="64"/>
    </row>
    <row r="74" spans="1:15" x14ac:dyDescent="0.2">
      <c r="A74" s="64"/>
      <c r="C74" s="140" t="s">
        <v>154</v>
      </c>
      <c r="D74" s="140" t="s">
        <v>13</v>
      </c>
      <c r="E74" s="140">
        <v>42</v>
      </c>
      <c r="F74" s="138" t="e">
        <f>'P_EU Marinas_Scenario_Calc'!K57</f>
        <v>#DIV/0!</v>
      </c>
      <c r="G74" s="138" t="e">
        <f>'P_EU Marinas_Scenario_Calc'!L57</f>
        <v>#DIV/0!</v>
      </c>
      <c r="H74" s="138" t="e">
        <f>'P_EU Marinas_Scenario_Calc'!M57</f>
        <v>#DIV/0!</v>
      </c>
      <c r="I74" s="138" t="e">
        <f>'P_EU Marinas_Scenario_Calc'!N57</f>
        <v>#DIV/0!</v>
      </c>
      <c r="O74" s="64"/>
    </row>
    <row r="75" spans="1:15" x14ac:dyDescent="0.2">
      <c r="A75" s="64"/>
      <c r="C75" s="140" t="s">
        <v>155</v>
      </c>
      <c r="D75" s="140" t="s">
        <v>13</v>
      </c>
      <c r="E75" s="140">
        <v>44</v>
      </c>
      <c r="F75" s="138" t="e">
        <f>'P_EU Marinas_Scenario_Calc'!K58</f>
        <v>#DIV/0!</v>
      </c>
      <c r="G75" s="138" t="e">
        <f>'P_EU Marinas_Scenario_Calc'!L58</f>
        <v>#DIV/0!</v>
      </c>
      <c r="H75" s="138" t="e">
        <f>'P_EU Marinas_Scenario_Calc'!M58</f>
        <v>#DIV/0!</v>
      </c>
      <c r="I75" s="138" t="e">
        <f>'P_EU Marinas_Scenario_Calc'!N58</f>
        <v>#DIV/0!</v>
      </c>
      <c r="O75" s="64"/>
    </row>
    <row r="76" spans="1:15" x14ac:dyDescent="0.2">
      <c r="A76" s="64"/>
      <c r="C76" s="140" t="s">
        <v>156</v>
      </c>
      <c r="D76" s="140" t="s">
        <v>13</v>
      </c>
      <c r="E76" s="140">
        <v>45</v>
      </c>
      <c r="F76" s="138" t="e">
        <f>'P_EU Marinas_Scenario_Calc'!K59</f>
        <v>#DIV/0!</v>
      </c>
      <c r="G76" s="138" t="e">
        <f>'P_EU Marinas_Scenario_Calc'!L59</f>
        <v>#DIV/0!</v>
      </c>
      <c r="H76" s="138" t="e">
        <f>'P_EU Marinas_Scenario_Calc'!M59</f>
        <v>#DIV/0!</v>
      </c>
      <c r="I76" s="138" t="e">
        <f>'P_EU Marinas_Scenario_Calc'!N59</f>
        <v>#DIV/0!</v>
      </c>
      <c r="O76" s="64"/>
    </row>
    <row r="77" spans="1:15" x14ac:dyDescent="0.2">
      <c r="A77" s="64"/>
      <c r="C77" s="140" t="s">
        <v>157</v>
      </c>
      <c r="D77" s="140" t="s">
        <v>13</v>
      </c>
      <c r="E77" s="140">
        <v>46</v>
      </c>
      <c r="F77" s="138" t="e">
        <f>'P_EU Marinas_Scenario_Calc'!K60</f>
        <v>#DIV/0!</v>
      </c>
      <c r="G77" s="138" t="e">
        <f>'P_EU Marinas_Scenario_Calc'!L60</f>
        <v>#DIV/0!</v>
      </c>
      <c r="H77" s="138" t="e">
        <f>'P_EU Marinas_Scenario_Calc'!M60</f>
        <v>#DIV/0!</v>
      </c>
      <c r="I77" s="138" t="e">
        <f>'P_EU Marinas_Scenario_Calc'!N60</f>
        <v>#DIV/0!</v>
      </c>
      <c r="O77" s="64"/>
    </row>
    <row r="78" spans="1:15" x14ac:dyDescent="0.2">
      <c r="A78" s="64"/>
      <c r="C78" s="140" t="s">
        <v>158</v>
      </c>
      <c r="D78" s="140" t="s">
        <v>13</v>
      </c>
      <c r="E78" s="140">
        <v>48</v>
      </c>
      <c r="F78" s="138" t="e">
        <f>'P_EU Marinas_Scenario_Calc'!K61</f>
        <v>#DIV/0!</v>
      </c>
      <c r="G78" s="138" t="e">
        <f>'P_EU Marinas_Scenario_Calc'!L61</f>
        <v>#DIV/0!</v>
      </c>
      <c r="H78" s="138" t="e">
        <f>'P_EU Marinas_Scenario_Calc'!M61</f>
        <v>#DIV/0!</v>
      </c>
      <c r="I78" s="138" t="e">
        <f>'P_EU Marinas_Scenario_Calc'!N61</f>
        <v>#DIV/0!</v>
      </c>
      <c r="O78" s="64"/>
    </row>
    <row r="79" spans="1:15" x14ac:dyDescent="0.2">
      <c r="A79" s="64"/>
      <c r="C79" s="140" t="s">
        <v>159</v>
      </c>
      <c r="D79" s="140" t="s">
        <v>160</v>
      </c>
      <c r="E79" s="140">
        <v>1</v>
      </c>
      <c r="F79" s="138" t="e">
        <f>'P_EU Marinas_Scenario_Calc'!K62</f>
        <v>#DIV/0!</v>
      </c>
      <c r="G79" s="138" t="e">
        <f>'P_EU Marinas_Scenario_Calc'!L62</f>
        <v>#DIV/0!</v>
      </c>
      <c r="H79" s="138" t="e">
        <f>'P_EU Marinas_Scenario_Calc'!M62</f>
        <v>#DIV/0!</v>
      </c>
      <c r="I79" s="138" t="e">
        <f>'P_EU Marinas_Scenario_Calc'!N62</f>
        <v>#DIV/0!</v>
      </c>
      <c r="O79" s="64"/>
    </row>
    <row r="80" spans="1:15" x14ac:dyDescent="0.2">
      <c r="A80" s="64"/>
      <c r="C80" s="140" t="s">
        <v>161</v>
      </c>
      <c r="D80" s="140" t="s">
        <v>160</v>
      </c>
      <c r="E80" s="140">
        <v>2</v>
      </c>
      <c r="F80" s="138" t="e">
        <f>'P_EU Marinas_Scenario_Calc'!K63</f>
        <v>#DIV/0!</v>
      </c>
      <c r="G80" s="138" t="e">
        <f>'P_EU Marinas_Scenario_Calc'!L63</f>
        <v>#DIV/0!</v>
      </c>
      <c r="H80" s="138" t="e">
        <f>'P_EU Marinas_Scenario_Calc'!M63</f>
        <v>#DIV/0!</v>
      </c>
      <c r="I80" s="138" t="e">
        <f>'P_EU Marinas_Scenario_Calc'!N63</f>
        <v>#DIV/0!</v>
      </c>
      <c r="O80" s="64"/>
    </row>
    <row r="81" spans="1:15" x14ac:dyDescent="0.2">
      <c r="A81" s="64"/>
      <c r="C81" s="140" t="s">
        <v>162</v>
      </c>
      <c r="D81" s="140" t="s">
        <v>160</v>
      </c>
      <c r="E81" s="140">
        <v>3</v>
      </c>
      <c r="F81" s="138" t="e">
        <f>'P_EU Marinas_Scenario_Calc'!K64</f>
        <v>#DIV/0!</v>
      </c>
      <c r="G81" s="138" t="e">
        <f>'P_EU Marinas_Scenario_Calc'!L64</f>
        <v>#DIV/0!</v>
      </c>
      <c r="H81" s="138" t="e">
        <f>'P_EU Marinas_Scenario_Calc'!M64</f>
        <v>#DIV/0!</v>
      </c>
      <c r="I81" s="138" t="e">
        <f>'P_EU Marinas_Scenario_Calc'!N64</f>
        <v>#DIV/0!</v>
      </c>
      <c r="O81" s="64"/>
    </row>
    <row r="82" spans="1:15" x14ac:dyDescent="0.2">
      <c r="A82" s="64"/>
      <c r="C82" s="140" t="s">
        <v>163</v>
      </c>
      <c r="D82" s="140" t="s">
        <v>160</v>
      </c>
      <c r="E82" s="140">
        <v>4</v>
      </c>
      <c r="F82" s="138" t="e">
        <f>'P_EU Marinas_Scenario_Calc'!K65</f>
        <v>#DIV/0!</v>
      </c>
      <c r="G82" s="138" t="e">
        <f>'P_EU Marinas_Scenario_Calc'!L65</f>
        <v>#DIV/0!</v>
      </c>
      <c r="H82" s="138" t="e">
        <f>'P_EU Marinas_Scenario_Calc'!M65</f>
        <v>#DIV/0!</v>
      </c>
      <c r="I82" s="138" t="e">
        <f>'P_EU Marinas_Scenario_Calc'!N65</f>
        <v>#DIV/0!</v>
      </c>
      <c r="O82" s="64"/>
    </row>
    <row r="83" spans="1:15" x14ac:dyDescent="0.2">
      <c r="A83" s="64"/>
      <c r="C83" s="140" t="s">
        <v>164</v>
      </c>
      <c r="D83" s="140" t="s">
        <v>160</v>
      </c>
      <c r="E83" s="140">
        <v>5</v>
      </c>
      <c r="F83" s="138" t="e">
        <f>'P_EU Marinas_Scenario_Calc'!K66</f>
        <v>#DIV/0!</v>
      </c>
      <c r="G83" s="138" t="e">
        <f>'P_EU Marinas_Scenario_Calc'!L66</f>
        <v>#DIV/0!</v>
      </c>
      <c r="H83" s="138" t="e">
        <f>'P_EU Marinas_Scenario_Calc'!M66</f>
        <v>#DIV/0!</v>
      </c>
      <c r="I83" s="138" t="e">
        <f>'P_EU Marinas_Scenario_Calc'!N66</f>
        <v>#DIV/0!</v>
      </c>
      <c r="O83" s="64"/>
    </row>
    <row r="84" spans="1:15" x14ac:dyDescent="0.2">
      <c r="A84" s="64"/>
      <c r="C84" s="184" t="s">
        <v>172</v>
      </c>
      <c r="D84" s="185"/>
      <c r="E84" s="186"/>
      <c r="F84" s="138" t="e">
        <f>'P_Regulatory_ Marinas_Calc'!I21</f>
        <v>#DIV/0!</v>
      </c>
      <c r="G84" s="138" t="e">
        <f>'P_Regulatory_ Marinas_Calc'!J21</f>
        <v>#DIV/0!</v>
      </c>
      <c r="H84" s="138" t="e">
        <f>'P_Regulatory_ Marinas_Calc'!K21</f>
        <v>#DIV/0!</v>
      </c>
      <c r="I84" s="138" t="e">
        <f>'P_Regulatory_ Marinas_Calc'!L21</f>
        <v>#DIV/0!</v>
      </c>
      <c r="O84" s="64"/>
    </row>
    <row r="85" spans="1:15" x14ac:dyDescent="0.2">
      <c r="A85" s="64"/>
      <c r="C85" s="187" t="s">
        <v>173</v>
      </c>
      <c r="D85" s="188"/>
      <c r="E85" s="189"/>
      <c r="F85" s="138" t="e">
        <f>'P_Regulatory_ Marinas_Calc'!I22</f>
        <v>#DIV/0!</v>
      </c>
      <c r="G85" s="138" t="e">
        <f>'P_Regulatory_ Marinas_Calc'!J22</f>
        <v>#DIV/0!</v>
      </c>
      <c r="H85" s="138" t="e">
        <f>'P_Regulatory_ Marinas_Calc'!K22</f>
        <v>#DIV/0!</v>
      </c>
      <c r="I85" s="138" t="e">
        <f>'P_Regulatory_ Marinas_Calc'!L22</f>
        <v>#DIV/0!</v>
      </c>
      <c r="O85" s="64"/>
    </row>
    <row r="86" spans="1:15" x14ac:dyDescent="0.2">
      <c r="A86" s="64"/>
      <c r="C86" s="106"/>
      <c r="D86" s="106"/>
      <c r="E86" s="106"/>
      <c r="F86" s="107"/>
      <c r="G86" s="107"/>
      <c r="H86" s="107"/>
      <c r="I86" s="107"/>
      <c r="O86" s="64"/>
    </row>
    <row r="87" spans="1:15" x14ac:dyDescent="0.2">
      <c r="A87" s="64"/>
      <c r="B87" s="91"/>
      <c r="C87" s="59" t="s">
        <v>82</v>
      </c>
      <c r="O87" s="64"/>
    </row>
    <row r="88" spans="1:15" x14ac:dyDescent="0.2">
      <c r="A88" s="64"/>
      <c r="C88" s="91" t="s">
        <v>91</v>
      </c>
      <c r="O88" s="64"/>
    </row>
    <row r="89" spans="1:15" ht="120" customHeight="1" x14ac:dyDescent="0.2">
      <c r="A89" s="64"/>
      <c r="C89" s="61" t="s">
        <v>9</v>
      </c>
      <c r="D89" s="181" t="s">
        <v>10</v>
      </c>
      <c r="E89" s="182"/>
      <c r="F89" s="137" t="s">
        <v>60</v>
      </c>
      <c r="G89" s="137" t="s">
        <v>61</v>
      </c>
      <c r="H89" s="137" t="s">
        <v>62</v>
      </c>
      <c r="I89" s="137" t="s">
        <v>63</v>
      </c>
      <c r="O89" s="64"/>
    </row>
    <row r="90" spans="1:15" x14ac:dyDescent="0.2">
      <c r="A90" s="64"/>
      <c r="C90" s="61" t="s">
        <v>106</v>
      </c>
      <c r="D90" s="61" t="s">
        <v>107</v>
      </c>
      <c r="E90" s="61">
        <v>1</v>
      </c>
      <c r="F90" s="138" t="e">
        <f>'P_EU Marinas_Scenario_Calc'!S21</f>
        <v>#DIV/0!</v>
      </c>
      <c r="G90" s="138" t="e">
        <f>'P_EU Marinas_Scenario_Calc'!T21</f>
        <v>#DIV/0!</v>
      </c>
      <c r="H90" s="138" t="e">
        <f>'P_EU Marinas_Scenario_Calc'!U21</f>
        <v>#DIV/0!</v>
      </c>
      <c r="I90" s="138" t="e">
        <f>'P_EU Marinas_Scenario_Calc'!V21</f>
        <v>#DIV/0!</v>
      </c>
      <c r="O90" s="64"/>
    </row>
    <row r="91" spans="1:15" x14ac:dyDescent="0.2">
      <c r="A91" s="64"/>
      <c r="C91" s="61" t="s">
        <v>108</v>
      </c>
      <c r="D91" s="61" t="s">
        <v>107</v>
      </c>
      <c r="E91" s="61">
        <v>2</v>
      </c>
      <c r="F91" s="138" t="e">
        <f>'P_EU Marinas_Scenario_Calc'!S22</f>
        <v>#DIV/0!</v>
      </c>
      <c r="G91" s="138" t="e">
        <f>'P_EU Marinas_Scenario_Calc'!T22</f>
        <v>#DIV/0!</v>
      </c>
      <c r="H91" s="138" t="e">
        <f>'P_EU Marinas_Scenario_Calc'!U22</f>
        <v>#DIV/0!</v>
      </c>
      <c r="I91" s="138" t="e">
        <f>'P_EU Marinas_Scenario_Calc'!V22</f>
        <v>#DIV/0!</v>
      </c>
      <c r="O91" s="64"/>
    </row>
    <row r="92" spans="1:15" x14ac:dyDescent="0.2">
      <c r="A92" s="64"/>
      <c r="C92" s="61" t="s">
        <v>109</v>
      </c>
      <c r="D92" s="61" t="s">
        <v>107</v>
      </c>
      <c r="E92" s="61">
        <v>3</v>
      </c>
      <c r="F92" s="138" t="e">
        <f>'P_EU Marinas_Scenario_Calc'!S23</f>
        <v>#DIV/0!</v>
      </c>
      <c r="G92" s="138" t="e">
        <f>'P_EU Marinas_Scenario_Calc'!T23</f>
        <v>#DIV/0!</v>
      </c>
      <c r="H92" s="138" t="e">
        <f>'P_EU Marinas_Scenario_Calc'!U23</f>
        <v>#DIV/0!</v>
      </c>
      <c r="I92" s="138" t="e">
        <f>'P_EU Marinas_Scenario_Calc'!V23</f>
        <v>#DIV/0!</v>
      </c>
      <c r="O92" s="64"/>
    </row>
    <row r="93" spans="1:15" x14ac:dyDescent="0.2">
      <c r="A93" s="64"/>
      <c r="C93" s="61" t="s">
        <v>110</v>
      </c>
      <c r="D93" s="61" t="s">
        <v>107</v>
      </c>
      <c r="E93" s="61">
        <v>4</v>
      </c>
      <c r="F93" s="138" t="e">
        <f>'P_EU Marinas_Scenario_Calc'!S24</f>
        <v>#DIV/0!</v>
      </c>
      <c r="G93" s="138" t="e">
        <f>'P_EU Marinas_Scenario_Calc'!T24</f>
        <v>#DIV/0!</v>
      </c>
      <c r="H93" s="138" t="e">
        <f>'P_EU Marinas_Scenario_Calc'!U24</f>
        <v>#DIV/0!</v>
      </c>
      <c r="I93" s="138" t="e">
        <f>'P_EU Marinas_Scenario_Calc'!V24</f>
        <v>#DIV/0!</v>
      </c>
      <c r="O93" s="64"/>
    </row>
    <row r="94" spans="1:15" x14ac:dyDescent="0.2">
      <c r="A94" s="64"/>
      <c r="C94" s="61" t="s">
        <v>111</v>
      </c>
      <c r="D94" s="61" t="s">
        <v>107</v>
      </c>
      <c r="E94" s="61">
        <v>5</v>
      </c>
      <c r="F94" s="138" t="e">
        <f>'P_EU Marinas_Scenario_Calc'!S25</f>
        <v>#DIV/0!</v>
      </c>
      <c r="G94" s="138" t="e">
        <f>'P_EU Marinas_Scenario_Calc'!T25</f>
        <v>#DIV/0!</v>
      </c>
      <c r="H94" s="138" t="e">
        <f>'P_EU Marinas_Scenario_Calc'!U25</f>
        <v>#DIV/0!</v>
      </c>
      <c r="I94" s="138" t="e">
        <f>'P_EU Marinas_Scenario_Calc'!V25</f>
        <v>#DIV/0!</v>
      </c>
      <c r="O94" s="64"/>
    </row>
    <row r="95" spans="1:15" x14ac:dyDescent="0.2">
      <c r="A95" s="64"/>
      <c r="C95" s="61" t="s">
        <v>112</v>
      </c>
      <c r="D95" s="61" t="s">
        <v>107</v>
      </c>
      <c r="E95" s="61">
        <v>6</v>
      </c>
      <c r="F95" s="138" t="e">
        <f>'P_EU Marinas_Scenario_Calc'!S26</f>
        <v>#DIV/0!</v>
      </c>
      <c r="G95" s="138" t="e">
        <f>'P_EU Marinas_Scenario_Calc'!T26</f>
        <v>#DIV/0!</v>
      </c>
      <c r="H95" s="138" t="e">
        <f>'P_EU Marinas_Scenario_Calc'!U26</f>
        <v>#DIV/0!</v>
      </c>
      <c r="I95" s="138" t="e">
        <f>'P_EU Marinas_Scenario_Calc'!V26</f>
        <v>#DIV/0!</v>
      </c>
      <c r="O95" s="64"/>
    </row>
    <row r="96" spans="1:15" x14ac:dyDescent="0.2">
      <c r="A96" s="64"/>
      <c r="C96" s="61" t="s">
        <v>113</v>
      </c>
      <c r="D96" s="61" t="s">
        <v>107</v>
      </c>
      <c r="E96" s="61">
        <v>7</v>
      </c>
      <c r="F96" s="138" t="e">
        <f>'P_EU Marinas_Scenario_Calc'!S27</f>
        <v>#DIV/0!</v>
      </c>
      <c r="G96" s="138" t="e">
        <f>'P_EU Marinas_Scenario_Calc'!T27</f>
        <v>#DIV/0!</v>
      </c>
      <c r="H96" s="138" t="e">
        <f>'P_EU Marinas_Scenario_Calc'!U27</f>
        <v>#DIV/0!</v>
      </c>
      <c r="I96" s="138" t="e">
        <f>'P_EU Marinas_Scenario_Calc'!V27</f>
        <v>#DIV/0!</v>
      </c>
      <c r="O96" s="64"/>
    </row>
    <row r="97" spans="1:15" x14ac:dyDescent="0.2">
      <c r="A97" s="64"/>
      <c r="C97" s="61" t="s">
        <v>114</v>
      </c>
      <c r="D97" s="61" t="s">
        <v>115</v>
      </c>
      <c r="E97" s="61">
        <v>2</v>
      </c>
      <c r="F97" s="138" t="e">
        <f>'P_EU Marinas_Scenario_Calc'!S28</f>
        <v>#DIV/0!</v>
      </c>
      <c r="G97" s="138" t="e">
        <f>'P_EU Marinas_Scenario_Calc'!T28</f>
        <v>#DIV/0!</v>
      </c>
      <c r="H97" s="138" t="e">
        <f>'P_EU Marinas_Scenario_Calc'!U28</f>
        <v>#DIV/0!</v>
      </c>
      <c r="I97" s="138" t="e">
        <f>'P_EU Marinas_Scenario_Calc'!V28</f>
        <v>#DIV/0!</v>
      </c>
      <c r="O97" s="64"/>
    </row>
    <row r="98" spans="1:15" x14ac:dyDescent="0.2">
      <c r="A98" s="64"/>
      <c r="C98" s="61" t="s">
        <v>116</v>
      </c>
      <c r="D98" s="61" t="s">
        <v>115</v>
      </c>
      <c r="E98" s="61">
        <v>3</v>
      </c>
      <c r="F98" s="138" t="e">
        <f>'P_EU Marinas_Scenario_Calc'!S29</f>
        <v>#DIV/0!</v>
      </c>
      <c r="G98" s="138" t="e">
        <f>'P_EU Marinas_Scenario_Calc'!T29</f>
        <v>#DIV/0!</v>
      </c>
      <c r="H98" s="138" t="e">
        <f>'P_EU Marinas_Scenario_Calc'!U29</f>
        <v>#DIV/0!</v>
      </c>
      <c r="I98" s="138" t="e">
        <f>'P_EU Marinas_Scenario_Calc'!V29</f>
        <v>#DIV/0!</v>
      </c>
      <c r="O98" s="64"/>
    </row>
    <row r="99" spans="1:15" x14ac:dyDescent="0.2">
      <c r="A99" s="64"/>
      <c r="C99" s="61" t="s">
        <v>117</v>
      </c>
      <c r="D99" s="61" t="s">
        <v>115</v>
      </c>
      <c r="E99" s="61">
        <v>5</v>
      </c>
      <c r="F99" s="138" t="e">
        <f>'P_EU Marinas_Scenario_Calc'!S30</f>
        <v>#DIV/0!</v>
      </c>
      <c r="G99" s="138" t="e">
        <f>'P_EU Marinas_Scenario_Calc'!T30</f>
        <v>#DIV/0!</v>
      </c>
      <c r="H99" s="138" t="e">
        <f>'P_EU Marinas_Scenario_Calc'!U30</f>
        <v>#DIV/0!</v>
      </c>
      <c r="I99" s="138" t="e">
        <f>'P_EU Marinas_Scenario_Calc'!V30</f>
        <v>#DIV/0!</v>
      </c>
      <c r="O99" s="64"/>
    </row>
    <row r="100" spans="1:15" x14ac:dyDescent="0.2">
      <c r="A100" s="64"/>
      <c r="C100" s="61" t="s">
        <v>118</v>
      </c>
      <c r="D100" s="61" t="s">
        <v>115</v>
      </c>
      <c r="E100" s="61">
        <v>6</v>
      </c>
      <c r="F100" s="138" t="e">
        <f>'P_EU Marinas_Scenario_Calc'!S31</f>
        <v>#DIV/0!</v>
      </c>
      <c r="G100" s="138" t="e">
        <f>'P_EU Marinas_Scenario_Calc'!T31</f>
        <v>#DIV/0!</v>
      </c>
      <c r="H100" s="138" t="e">
        <f>'P_EU Marinas_Scenario_Calc'!U31</f>
        <v>#DIV/0!</v>
      </c>
      <c r="I100" s="138" t="e">
        <f>'P_EU Marinas_Scenario_Calc'!V31</f>
        <v>#DIV/0!</v>
      </c>
      <c r="O100" s="64"/>
    </row>
    <row r="101" spans="1:15" x14ac:dyDescent="0.2">
      <c r="A101" s="64"/>
      <c r="C101" s="61" t="s">
        <v>119</v>
      </c>
      <c r="D101" s="61" t="s">
        <v>115</v>
      </c>
      <c r="E101" s="61">
        <v>11</v>
      </c>
      <c r="F101" s="138" t="e">
        <f>'P_EU Marinas_Scenario_Calc'!S32</f>
        <v>#DIV/0!</v>
      </c>
      <c r="G101" s="138" t="e">
        <f>'P_EU Marinas_Scenario_Calc'!T32</f>
        <v>#DIV/0!</v>
      </c>
      <c r="H101" s="138" t="e">
        <f>'P_EU Marinas_Scenario_Calc'!U32</f>
        <v>#DIV/0!</v>
      </c>
      <c r="I101" s="138" t="e">
        <f>'P_EU Marinas_Scenario_Calc'!V32</f>
        <v>#DIV/0!</v>
      </c>
      <c r="O101" s="64"/>
    </row>
    <row r="102" spans="1:15" x14ac:dyDescent="0.2">
      <c r="A102" s="64"/>
      <c r="C102" s="61" t="s">
        <v>120</v>
      </c>
      <c r="D102" s="61" t="s">
        <v>115</v>
      </c>
      <c r="E102" s="61">
        <v>12</v>
      </c>
      <c r="F102" s="138" t="e">
        <f>'P_EU Marinas_Scenario_Calc'!S33</f>
        <v>#DIV/0!</v>
      </c>
      <c r="G102" s="138" t="e">
        <f>'P_EU Marinas_Scenario_Calc'!T33</f>
        <v>#DIV/0!</v>
      </c>
      <c r="H102" s="138" t="e">
        <f>'P_EU Marinas_Scenario_Calc'!U33</f>
        <v>#DIV/0!</v>
      </c>
      <c r="I102" s="138" t="e">
        <f>'P_EU Marinas_Scenario_Calc'!V33</f>
        <v>#DIV/0!</v>
      </c>
      <c r="O102" s="64"/>
    </row>
    <row r="103" spans="1:15" x14ac:dyDescent="0.2">
      <c r="A103" s="64"/>
      <c r="C103" s="61" t="s">
        <v>121</v>
      </c>
      <c r="D103" s="61" t="s">
        <v>12</v>
      </c>
      <c r="E103" s="61" t="s">
        <v>122</v>
      </c>
      <c r="F103" s="138" t="e">
        <f>'P_EU Marinas_Scenario_Calc'!S34</f>
        <v>#DIV/0!</v>
      </c>
      <c r="G103" s="138" t="e">
        <f>'P_EU Marinas_Scenario_Calc'!T34</f>
        <v>#DIV/0!</v>
      </c>
      <c r="H103" s="138" t="e">
        <f>'P_EU Marinas_Scenario_Calc'!U34</f>
        <v>#DIV/0!</v>
      </c>
      <c r="I103" s="138" t="e">
        <f>'P_EU Marinas_Scenario_Calc'!V34</f>
        <v>#DIV/0!</v>
      </c>
      <c r="O103" s="64"/>
    </row>
    <row r="104" spans="1:15" x14ac:dyDescent="0.2">
      <c r="A104" s="64"/>
      <c r="C104" s="61" t="s">
        <v>123</v>
      </c>
      <c r="D104" s="61" t="s">
        <v>12</v>
      </c>
      <c r="E104" s="61" t="s">
        <v>124</v>
      </c>
      <c r="F104" s="138" t="e">
        <f>'P_EU Marinas_Scenario_Calc'!S35</f>
        <v>#DIV/0!</v>
      </c>
      <c r="G104" s="138" t="e">
        <f>'P_EU Marinas_Scenario_Calc'!T35</f>
        <v>#DIV/0!</v>
      </c>
      <c r="H104" s="138" t="e">
        <f>'P_EU Marinas_Scenario_Calc'!U35</f>
        <v>#DIV/0!</v>
      </c>
      <c r="I104" s="138" t="e">
        <f>'P_EU Marinas_Scenario_Calc'!V35</f>
        <v>#DIV/0!</v>
      </c>
      <c r="O104" s="64"/>
    </row>
    <row r="105" spans="1:15" x14ac:dyDescent="0.2">
      <c r="A105" s="64"/>
      <c r="C105" s="61" t="s">
        <v>125</v>
      </c>
      <c r="D105" s="61" t="s">
        <v>12</v>
      </c>
      <c r="E105" s="61" t="s">
        <v>126</v>
      </c>
      <c r="F105" s="138" t="e">
        <f>'P_EU Marinas_Scenario_Calc'!S36</f>
        <v>#DIV/0!</v>
      </c>
      <c r="G105" s="138" t="e">
        <f>'P_EU Marinas_Scenario_Calc'!T36</f>
        <v>#DIV/0!</v>
      </c>
      <c r="H105" s="138" t="e">
        <f>'P_EU Marinas_Scenario_Calc'!U36</f>
        <v>#DIV/0!</v>
      </c>
      <c r="I105" s="138" t="e">
        <f>'P_EU Marinas_Scenario_Calc'!V36</f>
        <v>#DIV/0!</v>
      </c>
      <c r="O105" s="64"/>
    </row>
    <row r="106" spans="1:15" x14ac:dyDescent="0.2">
      <c r="A106" s="64"/>
      <c r="C106" s="61" t="s">
        <v>127</v>
      </c>
      <c r="D106" s="61" t="s">
        <v>12</v>
      </c>
      <c r="E106" s="61" t="s">
        <v>128</v>
      </c>
      <c r="F106" s="138" t="e">
        <f>'P_EU Marinas_Scenario_Calc'!S37</f>
        <v>#DIV/0!</v>
      </c>
      <c r="G106" s="138" t="e">
        <f>'P_EU Marinas_Scenario_Calc'!T37</f>
        <v>#DIV/0!</v>
      </c>
      <c r="H106" s="138" t="e">
        <f>'P_EU Marinas_Scenario_Calc'!U37</f>
        <v>#DIV/0!</v>
      </c>
      <c r="I106" s="138" t="e">
        <f>'P_EU Marinas_Scenario_Calc'!V37</f>
        <v>#DIV/0!</v>
      </c>
      <c r="O106" s="64"/>
    </row>
    <row r="107" spans="1:15" x14ac:dyDescent="0.2">
      <c r="A107" s="64"/>
      <c r="C107" s="61" t="s">
        <v>129</v>
      </c>
      <c r="D107" s="61" t="s">
        <v>12</v>
      </c>
      <c r="E107" s="61" t="s">
        <v>130</v>
      </c>
      <c r="F107" s="138" t="e">
        <f>'P_EU Marinas_Scenario_Calc'!S38</f>
        <v>#DIV/0!</v>
      </c>
      <c r="G107" s="138" t="e">
        <f>'P_EU Marinas_Scenario_Calc'!T38</f>
        <v>#DIV/0!</v>
      </c>
      <c r="H107" s="138" t="e">
        <f>'P_EU Marinas_Scenario_Calc'!U38</f>
        <v>#DIV/0!</v>
      </c>
      <c r="I107" s="138" t="e">
        <f>'P_EU Marinas_Scenario_Calc'!V38</f>
        <v>#DIV/0!</v>
      </c>
      <c r="O107" s="64"/>
    </row>
    <row r="108" spans="1:15" x14ac:dyDescent="0.2">
      <c r="A108" s="64"/>
      <c r="C108" s="61" t="s">
        <v>131</v>
      </c>
      <c r="D108" s="61" t="s">
        <v>12</v>
      </c>
      <c r="E108" s="61" t="s">
        <v>132</v>
      </c>
      <c r="F108" s="138" t="e">
        <f>'P_EU Marinas_Scenario_Calc'!S39</f>
        <v>#DIV/0!</v>
      </c>
      <c r="G108" s="138" t="e">
        <f>'P_EU Marinas_Scenario_Calc'!T39</f>
        <v>#DIV/0!</v>
      </c>
      <c r="H108" s="138" t="e">
        <f>'P_EU Marinas_Scenario_Calc'!U39</f>
        <v>#DIV/0!</v>
      </c>
      <c r="I108" s="138" t="e">
        <f>'P_EU Marinas_Scenario_Calc'!V39</f>
        <v>#DIV/0!</v>
      </c>
      <c r="O108" s="64"/>
    </row>
    <row r="109" spans="1:15" x14ac:dyDescent="0.2">
      <c r="A109" s="64"/>
      <c r="C109" s="61" t="s">
        <v>133</v>
      </c>
      <c r="D109" s="61" t="s">
        <v>12</v>
      </c>
      <c r="E109" s="61" t="s">
        <v>134</v>
      </c>
      <c r="F109" s="138" t="e">
        <f>'P_EU Marinas_Scenario_Calc'!S40</f>
        <v>#DIV/0!</v>
      </c>
      <c r="G109" s="138" t="e">
        <f>'P_EU Marinas_Scenario_Calc'!T40</f>
        <v>#DIV/0!</v>
      </c>
      <c r="H109" s="138" t="e">
        <f>'P_EU Marinas_Scenario_Calc'!U40</f>
        <v>#DIV/0!</v>
      </c>
      <c r="I109" s="138" t="e">
        <f>'P_EU Marinas_Scenario_Calc'!V40</f>
        <v>#DIV/0!</v>
      </c>
      <c r="O109" s="64"/>
    </row>
    <row r="110" spans="1:15" x14ac:dyDescent="0.2">
      <c r="A110" s="64"/>
      <c r="C110" s="61" t="s">
        <v>135</v>
      </c>
      <c r="D110" s="61" t="s">
        <v>12</v>
      </c>
      <c r="E110" s="61" t="s">
        <v>136</v>
      </c>
      <c r="F110" s="138" t="e">
        <f>'P_EU Marinas_Scenario_Calc'!S41</f>
        <v>#DIV/0!</v>
      </c>
      <c r="G110" s="138" t="e">
        <f>'P_EU Marinas_Scenario_Calc'!T41</f>
        <v>#DIV/0!</v>
      </c>
      <c r="H110" s="138" t="e">
        <f>'P_EU Marinas_Scenario_Calc'!U41</f>
        <v>#DIV/0!</v>
      </c>
      <c r="I110" s="138" t="e">
        <f>'P_EU Marinas_Scenario_Calc'!V41</f>
        <v>#DIV/0!</v>
      </c>
      <c r="O110" s="64"/>
    </row>
    <row r="111" spans="1:15" x14ac:dyDescent="0.2">
      <c r="A111" s="64"/>
      <c r="C111" s="61" t="s">
        <v>137</v>
      </c>
      <c r="D111" s="61" t="s">
        <v>12</v>
      </c>
      <c r="E111" s="61" t="s">
        <v>138</v>
      </c>
      <c r="F111" s="138" t="e">
        <f>'P_EU Marinas_Scenario_Calc'!S42</f>
        <v>#DIV/0!</v>
      </c>
      <c r="G111" s="138" t="e">
        <f>'P_EU Marinas_Scenario_Calc'!T42</f>
        <v>#DIV/0!</v>
      </c>
      <c r="H111" s="138" t="e">
        <f>'P_EU Marinas_Scenario_Calc'!U42</f>
        <v>#DIV/0!</v>
      </c>
      <c r="I111" s="138" t="e">
        <f>'P_EU Marinas_Scenario_Calc'!V42</f>
        <v>#DIV/0!</v>
      </c>
      <c r="O111" s="64"/>
    </row>
    <row r="112" spans="1:15" x14ac:dyDescent="0.2">
      <c r="A112" s="64"/>
      <c r="C112" s="61" t="s">
        <v>139</v>
      </c>
      <c r="D112" s="61" t="s">
        <v>12</v>
      </c>
      <c r="E112" s="61" t="s">
        <v>140</v>
      </c>
      <c r="F112" s="138" t="e">
        <f>'P_EU Marinas_Scenario_Calc'!S43</f>
        <v>#DIV/0!</v>
      </c>
      <c r="G112" s="138" t="e">
        <f>'P_EU Marinas_Scenario_Calc'!T43</f>
        <v>#DIV/0!</v>
      </c>
      <c r="H112" s="138" t="e">
        <f>'P_EU Marinas_Scenario_Calc'!U43</f>
        <v>#DIV/0!</v>
      </c>
      <c r="I112" s="138" t="e">
        <f>'P_EU Marinas_Scenario_Calc'!V43</f>
        <v>#DIV/0!</v>
      </c>
      <c r="O112" s="64"/>
    </row>
    <row r="113" spans="1:15" x14ac:dyDescent="0.2">
      <c r="A113" s="64"/>
      <c r="C113" s="61" t="s">
        <v>141</v>
      </c>
      <c r="D113" s="61" t="s">
        <v>13</v>
      </c>
      <c r="E113" s="61">
        <v>1</v>
      </c>
      <c r="F113" s="138" t="e">
        <f>'P_EU Marinas_Scenario_Calc'!S44</f>
        <v>#DIV/0!</v>
      </c>
      <c r="G113" s="138" t="e">
        <f>'P_EU Marinas_Scenario_Calc'!T44</f>
        <v>#DIV/0!</v>
      </c>
      <c r="H113" s="138" t="e">
        <f>'P_EU Marinas_Scenario_Calc'!U44</f>
        <v>#DIV/0!</v>
      </c>
      <c r="I113" s="138" t="e">
        <f>'P_EU Marinas_Scenario_Calc'!V44</f>
        <v>#DIV/0!</v>
      </c>
      <c r="O113" s="64"/>
    </row>
    <row r="114" spans="1:15" x14ac:dyDescent="0.2">
      <c r="A114" s="64"/>
      <c r="C114" s="61" t="s">
        <v>142</v>
      </c>
      <c r="D114" s="61" t="s">
        <v>13</v>
      </c>
      <c r="E114" s="61">
        <v>3</v>
      </c>
      <c r="F114" s="138" t="e">
        <f>'P_EU Marinas_Scenario_Calc'!S45</f>
        <v>#DIV/0!</v>
      </c>
      <c r="G114" s="138" t="e">
        <f>'P_EU Marinas_Scenario_Calc'!T45</f>
        <v>#DIV/0!</v>
      </c>
      <c r="H114" s="138" t="e">
        <f>'P_EU Marinas_Scenario_Calc'!U45</f>
        <v>#DIV/0!</v>
      </c>
      <c r="I114" s="138" t="e">
        <f>'P_EU Marinas_Scenario_Calc'!V45</f>
        <v>#DIV/0!</v>
      </c>
      <c r="O114" s="64"/>
    </row>
    <row r="115" spans="1:15" x14ac:dyDescent="0.2">
      <c r="A115" s="64"/>
      <c r="C115" s="61" t="s">
        <v>143</v>
      </c>
      <c r="D115" s="61" t="s">
        <v>13</v>
      </c>
      <c r="E115" s="61">
        <v>4</v>
      </c>
      <c r="F115" s="138" t="e">
        <f>'P_EU Marinas_Scenario_Calc'!S46</f>
        <v>#DIV/0!</v>
      </c>
      <c r="G115" s="138" t="e">
        <f>'P_EU Marinas_Scenario_Calc'!T46</f>
        <v>#DIV/0!</v>
      </c>
      <c r="H115" s="138" t="e">
        <f>'P_EU Marinas_Scenario_Calc'!U46</f>
        <v>#DIV/0!</v>
      </c>
      <c r="I115" s="138" t="e">
        <f>'P_EU Marinas_Scenario_Calc'!V46</f>
        <v>#DIV/0!</v>
      </c>
      <c r="O115" s="64"/>
    </row>
    <row r="116" spans="1:15" x14ac:dyDescent="0.2">
      <c r="A116" s="64"/>
      <c r="C116" s="61" t="s">
        <v>144</v>
      </c>
      <c r="D116" s="61" t="s">
        <v>13</v>
      </c>
      <c r="E116" s="61">
        <v>6</v>
      </c>
      <c r="F116" s="138" t="e">
        <f>'P_EU Marinas_Scenario_Calc'!S47</f>
        <v>#DIV/0!</v>
      </c>
      <c r="G116" s="138" t="e">
        <f>'P_EU Marinas_Scenario_Calc'!T47</f>
        <v>#DIV/0!</v>
      </c>
      <c r="H116" s="138" t="e">
        <f>'P_EU Marinas_Scenario_Calc'!U47</f>
        <v>#DIV/0!</v>
      </c>
      <c r="I116" s="138" t="e">
        <f>'P_EU Marinas_Scenario_Calc'!V47</f>
        <v>#DIV/0!</v>
      </c>
      <c r="O116" s="64"/>
    </row>
    <row r="117" spans="1:15" x14ac:dyDescent="0.2">
      <c r="A117" s="64"/>
      <c r="C117" s="61" t="s">
        <v>145</v>
      </c>
      <c r="D117" s="61" t="s">
        <v>13</v>
      </c>
      <c r="E117" s="61">
        <v>7</v>
      </c>
      <c r="F117" s="138" t="e">
        <f>'P_EU Marinas_Scenario_Calc'!S48</f>
        <v>#DIV/0!</v>
      </c>
      <c r="G117" s="138" t="e">
        <f>'P_EU Marinas_Scenario_Calc'!T48</f>
        <v>#DIV/0!</v>
      </c>
      <c r="H117" s="138" t="e">
        <f>'P_EU Marinas_Scenario_Calc'!U48</f>
        <v>#DIV/0!</v>
      </c>
      <c r="I117" s="138" t="e">
        <f>'P_EU Marinas_Scenario_Calc'!V48</f>
        <v>#DIV/0!</v>
      </c>
      <c r="O117" s="64"/>
    </row>
    <row r="118" spans="1:15" x14ac:dyDescent="0.2">
      <c r="A118" s="64"/>
      <c r="C118" s="61" t="s">
        <v>146</v>
      </c>
      <c r="D118" s="61" t="s">
        <v>13</v>
      </c>
      <c r="E118" s="61">
        <v>8</v>
      </c>
      <c r="F118" s="138" t="e">
        <f>'P_EU Marinas_Scenario_Calc'!S49</f>
        <v>#DIV/0!</v>
      </c>
      <c r="G118" s="138" t="e">
        <f>'P_EU Marinas_Scenario_Calc'!T49</f>
        <v>#DIV/0!</v>
      </c>
      <c r="H118" s="138" t="e">
        <f>'P_EU Marinas_Scenario_Calc'!U49</f>
        <v>#DIV/0!</v>
      </c>
      <c r="I118" s="138" t="e">
        <f>'P_EU Marinas_Scenario_Calc'!V49</f>
        <v>#DIV/0!</v>
      </c>
      <c r="O118" s="64"/>
    </row>
    <row r="119" spans="1:15" x14ac:dyDescent="0.2">
      <c r="A119" s="64"/>
      <c r="C119" s="61" t="s">
        <v>147</v>
      </c>
      <c r="D119" s="61" t="s">
        <v>13</v>
      </c>
      <c r="E119" s="61">
        <v>14</v>
      </c>
      <c r="F119" s="138" t="e">
        <f>'P_EU Marinas_Scenario_Calc'!S50</f>
        <v>#DIV/0!</v>
      </c>
      <c r="G119" s="138" t="e">
        <f>'P_EU Marinas_Scenario_Calc'!T50</f>
        <v>#DIV/0!</v>
      </c>
      <c r="H119" s="138" t="e">
        <f>'P_EU Marinas_Scenario_Calc'!U50</f>
        <v>#DIV/0!</v>
      </c>
      <c r="I119" s="138" t="e">
        <f>'P_EU Marinas_Scenario_Calc'!V50</f>
        <v>#DIV/0!</v>
      </c>
      <c r="O119" s="64"/>
    </row>
    <row r="120" spans="1:15" x14ac:dyDescent="0.2">
      <c r="A120" s="64"/>
      <c r="C120" s="61" t="s">
        <v>148</v>
      </c>
      <c r="D120" s="61" t="s">
        <v>13</v>
      </c>
      <c r="E120" s="61">
        <v>17</v>
      </c>
      <c r="F120" s="138" t="e">
        <f>'P_EU Marinas_Scenario_Calc'!S51</f>
        <v>#DIV/0!</v>
      </c>
      <c r="G120" s="138" t="e">
        <f>'P_EU Marinas_Scenario_Calc'!T51</f>
        <v>#DIV/0!</v>
      </c>
      <c r="H120" s="138" t="e">
        <f>'P_EU Marinas_Scenario_Calc'!U51</f>
        <v>#DIV/0!</v>
      </c>
      <c r="I120" s="138" t="e">
        <f>'P_EU Marinas_Scenario_Calc'!V51</f>
        <v>#DIV/0!</v>
      </c>
      <c r="O120" s="64"/>
    </row>
    <row r="121" spans="1:15" x14ac:dyDescent="0.2">
      <c r="A121" s="64"/>
      <c r="C121" s="61" t="s">
        <v>149</v>
      </c>
      <c r="D121" s="61" t="s">
        <v>13</v>
      </c>
      <c r="E121" s="61">
        <v>21</v>
      </c>
      <c r="F121" s="138" t="e">
        <f>'P_EU Marinas_Scenario_Calc'!S52</f>
        <v>#DIV/0!</v>
      </c>
      <c r="G121" s="138" t="e">
        <f>'P_EU Marinas_Scenario_Calc'!T52</f>
        <v>#DIV/0!</v>
      </c>
      <c r="H121" s="138" t="e">
        <f>'P_EU Marinas_Scenario_Calc'!U52</f>
        <v>#DIV/0!</v>
      </c>
      <c r="I121" s="138" t="e">
        <f>'P_EU Marinas_Scenario_Calc'!V52</f>
        <v>#DIV/0!</v>
      </c>
      <c r="O121" s="64"/>
    </row>
    <row r="122" spans="1:15" x14ac:dyDescent="0.2">
      <c r="A122" s="64"/>
      <c r="C122" s="61" t="s">
        <v>150</v>
      </c>
      <c r="D122" s="61" t="s">
        <v>13</v>
      </c>
      <c r="E122" s="61">
        <v>26</v>
      </c>
      <c r="F122" s="138" t="e">
        <f>'P_EU Marinas_Scenario_Calc'!S53</f>
        <v>#DIV/0!</v>
      </c>
      <c r="G122" s="138" t="e">
        <f>'P_EU Marinas_Scenario_Calc'!T53</f>
        <v>#DIV/0!</v>
      </c>
      <c r="H122" s="138" t="e">
        <f>'P_EU Marinas_Scenario_Calc'!U53</f>
        <v>#DIV/0!</v>
      </c>
      <c r="I122" s="138" t="e">
        <f>'P_EU Marinas_Scenario_Calc'!V53</f>
        <v>#DIV/0!</v>
      </c>
      <c r="O122" s="64"/>
    </row>
    <row r="123" spans="1:15" x14ac:dyDescent="0.2">
      <c r="A123" s="64"/>
      <c r="C123" s="61" t="s">
        <v>151</v>
      </c>
      <c r="D123" s="61" t="s">
        <v>13</v>
      </c>
      <c r="E123" s="61">
        <v>30</v>
      </c>
      <c r="F123" s="138" t="e">
        <f>'P_EU Marinas_Scenario_Calc'!S54</f>
        <v>#DIV/0!</v>
      </c>
      <c r="G123" s="138" t="e">
        <f>'P_EU Marinas_Scenario_Calc'!T54</f>
        <v>#DIV/0!</v>
      </c>
      <c r="H123" s="138" t="e">
        <f>'P_EU Marinas_Scenario_Calc'!U54</f>
        <v>#DIV/0!</v>
      </c>
      <c r="I123" s="138" t="e">
        <f>'P_EU Marinas_Scenario_Calc'!V54</f>
        <v>#DIV/0!</v>
      </c>
      <c r="O123" s="64"/>
    </row>
    <row r="124" spans="1:15" x14ac:dyDescent="0.2">
      <c r="A124" s="64"/>
      <c r="C124" s="61" t="s">
        <v>152</v>
      </c>
      <c r="D124" s="61" t="s">
        <v>13</v>
      </c>
      <c r="E124" s="61">
        <v>34</v>
      </c>
      <c r="F124" s="138" t="e">
        <f>'P_EU Marinas_Scenario_Calc'!S55</f>
        <v>#DIV/0!</v>
      </c>
      <c r="G124" s="138" t="e">
        <f>'P_EU Marinas_Scenario_Calc'!T55</f>
        <v>#DIV/0!</v>
      </c>
      <c r="H124" s="138" t="e">
        <f>'P_EU Marinas_Scenario_Calc'!U55</f>
        <v>#DIV/0!</v>
      </c>
      <c r="I124" s="138" t="e">
        <f>'P_EU Marinas_Scenario_Calc'!V55</f>
        <v>#DIV/0!</v>
      </c>
      <c r="O124" s="64"/>
    </row>
    <row r="125" spans="1:15" x14ac:dyDescent="0.2">
      <c r="A125" s="64"/>
      <c r="C125" s="61" t="s">
        <v>153</v>
      </c>
      <c r="D125" s="61" t="s">
        <v>13</v>
      </c>
      <c r="E125" s="61">
        <v>40</v>
      </c>
      <c r="F125" s="138" t="e">
        <f>'P_EU Marinas_Scenario_Calc'!S56</f>
        <v>#DIV/0!</v>
      </c>
      <c r="G125" s="138" t="e">
        <f>'P_EU Marinas_Scenario_Calc'!T56</f>
        <v>#DIV/0!</v>
      </c>
      <c r="H125" s="138" t="e">
        <f>'P_EU Marinas_Scenario_Calc'!U56</f>
        <v>#DIV/0!</v>
      </c>
      <c r="I125" s="138" t="e">
        <f>'P_EU Marinas_Scenario_Calc'!V56</f>
        <v>#DIV/0!</v>
      </c>
      <c r="O125" s="64"/>
    </row>
    <row r="126" spans="1:15" x14ac:dyDescent="0.2">
      <c r="A126" s="64"/>
      <c r="C126" s="61" t="s">
        <v>154</v>
      </c>
      <c r="D126" s="61" t="s">
        <v>13</v>
      </c>
      <c r="E126" s="61">
        <v>42</v>
      </c>
      <c r="F126" s="138" t="e">
        <f>'P_EU Marinas_Scenario_Calc'!S57</f>
        <v>#DIV/0!</v>
      </c>
      <c r="G126" s="138" t="e">
        <f>'P_EU Marinas_Scenario_Calc'!T57</f>
        <v>#DIV/0!</v>
      </c>
      <c r="H126" s="138" t="e">
        <f>'P_EU Marinas_Scenario_Calc'!U57</f>
        <v>#DIV/0!</v>
      </c>
      <c r="I126" s="138" t="e">
        <f>'P_EU Marinas_Scenario_Calc'!V57</f>
        <v>#DIV/0!</v>
      </c>
      <c r="O126" s="64"/>
    </row>
    <row r="127" spans="1:15" x14ac:dyDescent="0.2">
      <c r="A127" s="64"/>
      <c r="C127" s="61" t="s">
        <v>155</v>
      </c>
      <c r="D127" s="61" t="s">
        <v>13</v>
      </c>
      <c r="E127" s="61">
        <v>44</v>
      </c>
      <c r="F127" s="138" t="e">
        <f>'P_EU Marinas_Scenario_Calc'!S58</f>
        <v>#DIV/0!</v>
      </c>
      <c r="G127" s="138" t="e">
        <f>'P_EU Marinas_Scenario_Calc'!T58</f>
        <v>#DIV/0!</v>
      </c>
      <c r="H127" s="138" t="e">
        <f>'P_EU Marinas_Scenario_Calc'!U58</f>
        <v>#DIV/0!</v>
      </c>
      <c r="I127" s="138" t="e">
        <f>'P_EU Marinas_Scenario_Calc'!V58</f>
        <v>#DIV/0!</v>
      </c>
      <c r="O127" s="64"/>
    </row>
    <row r="128" spans="1:15" x14ac:dyDescent="0.2">
      <c r="A128" s="64"/>
      <c r="C128" s="61" t="s">
        <v>156</v>
      </c>
      <c r="D128" s="61" t="s">
        <v>13</v>
      </c>
      <c r="E128" s="61">
        <v>45</v>
      </c>
      <c r="F128" s="138" t="e">
        <f>'P_EU Marinas_Scenario_Calc'!S59</f>
        <v>#DIV/0!</v>
      </c>
      <c r="G128" s="138" t="e">
        <f>'P_EU Marinas_Scenario_Calc'!T59</f>
        <v>#DIV/0!</v>
      </c>
      <c r="H128" s="138" t="e">
        <f>'P_EU Marinas_Scenario_Calc'!U59</f>
        <v>#DIV/0!</v>
      </c>
      <c r="I128" s="138" t="e">
        <f>'P_EU Marinas_Scenario_Calc'!V59</f>
        <v>#DIV/0!</v>
      </c>
      <c r="O128" s="64"/>
    </row>
    <row r="129" spans="1:15" x14ac:dyDescent="0.2">
      <c r="A129" s="64"/>
      <c r="C129" s="61" t="s">
        <v>157</v>
      </c>
      <c r="D129" s="61" t="s">
        <v>13</v>
      </c>
      <c r="E129" s="61">
        <v>46</v>
      </c>
      <c r="F129" s="138" t="e">
        <f>'P_EU Marinas_Scenario_Calc'!S60</f>
        <v>#DIV/0!</v>
      </c>
      <c r="G129" s="138" t="e">
        <f>'P_EU Marinas_Scenario_Calc'!T60</f>
        <v>#DIV/0!</v>
      </c>
      <c r="H129" s="138" t="e">
        <f>'P_EU Marinas_Scenario_Calc'!U60</f>
        <v>#DIV/0!</v>
      </c>
      <c r="I129" s="138" t="e">
        <f>'P_EU Marinas_Scenario_Calc'!V60</f>
        <v>#DIV/0!</v>
      </c>
      <c r="O129" s="64"/>
    </row>
    <row r="130" spans="1:15" x14ac:dyDescent="0.2">
      <c r="A130" s="64"/>
      <c r="C130" s="61" t="s">
        <v>158</v>
      </c>
      <c r="D130" s="61" t="s">
        <v>13</v>
      </c>
      <c r="E130" s="61">
        <v>48</v>
      </c>
      <c r="F130" s="138" t="e">
        <f>'P_EU Marinas_Scenario_Calc'!S61</f>
        <v>#DIV/0!</v>
      </c>
      <c r="G130" s="138" t="e">
        <f>'P_EU Marinas_Scenario_Calc'!T61</f>
        <v>#DIV/0!</v>
      </c>
      <c r="H130" s="138" t="e">
        <f>'P_EU Marinas_Scenario_Calc'!U61</f>
        <v>#DIV/0!</v>
      </c>
      <c r="I130" s="138" t="e">
        <f>'P_EU Marinas_Scenario_Calc'!V61</f>
        <v>#DIV/0!</v>
      </c>
      <c r="O130" s="64"/>
    </row>
    <row r="131" spans="1:15" x14ac:dyDescent="0.2">
      <c r="A131" s="64"/>
      <c r="C131" s="61" t="s">
        <v>159</v>
      </c>
      <c r="D131" s="61" t="s">
        <v>160</v>
      </c>
      <c r="E131" s="61">
        <v>1</v>
      </c>
      <c r="F131" s="138" t="e">
        <f>'P_EU Marinas_Scenario_Calc'!S62</f>
        <v>#DIV/0!</v>
      </c>
      <c r="G131" s="138" t="e">
        <f>'P_EU Marinas_Scenario_Calc'!T62</f>
        <v>#DIV/0!</v>
      </c>
      <c r="H131" s="138" t="e">
        <f>'P_EU Marinas_Scenario_Calc'!U62</f>
        <v>#DIV/0!</v>
      </c>
      <c r="I131" s="138" t="e">
        <f>'P_EU Marinas_Scenario_Calc'!V62</f>
        <v>#DIV/0!</v>
      </c>
      <c r="O131" s="64"/>
    </row>
    <row r="132" spans="1:15" x14ac:dyDescent="0.2">
      <c r="A132" s="64"/>
      <c r="C132" s="61" t="s">
        <v>161</v>
      </c>
      <c r="D132" s="61" t="s">
        <v>160</v>
      </c>
      <c r="E132" s="61">
        <v>2</v>
      </c>
      <c r="F132" s="138" t="e">
        <f>'P_EU Marinas_Scenario_Calc'!S63</f>
        <v>#DIV/0!</v>
      </c>
      <c r="G132" s="138" t="e">
        <f>'P_EU Marinas_Scenario_Calc'!T63</f>
        <v>#DIV/0!</v>
      </c>
      <c r="H132" s="138" t="e">
        <f>'P_EU Marinas_Scenario_Calc'!U63</f>
        <v>#DIV/0!</v>
      </c>
      <c r="I132" s="138" t="e">
        <f>'P_EU Marinas_Scenario_Calc'!V63</f>
        <v>#DIV/0!</v>
      </c>
      <c r="O132" s="64"/>
    </row>
    <row r="133" spans="1:15" x14ac:dyDescent="0.2">
      <c r="A133" s="64"/>
      <c r="C133" s="61" t="s">
        <v>162</v>
      </c>
      <c r="D133" s="61" t="s">
        <v>160</v>
      </c>
      <c r="E133" s="61">
        <v>3</v>
      </c>
      <c r="F133" s="138" t="e">
        <f>'P_EU Marinas_Scenario_Calc'!S64</f>
        <v>#DIV/0!</v>
      </c>
      <c r="G133" s="138" t="e">
        <f>'P_EU Marinas_Scenario_Calc'!T64</f>
        <v>#DIV/0!</v>
      </c>
      <c r="H133" s="138" t="e">
        <f>'P_EU Marinas_Scenario_Calc'!U64</f>
        <v>#DIV/0!</v>
      </c>
      <c r="I133" s="138" t="e">
        <f>'P_EU Marinas_Scenario_Calc'!V64</f>
        <v>#DIV/0!</v>
      </c>
      <c r="O133" s="64"/>
    </row>
    <row r="134" spans="1:15" x14ac:dyDescent="0.2">
      <c r="A134" s="64"/>
      <c r="C134" s="61" t="s">
        <v>163</v>
      </c>
      <c r="D134" s="61" t="s">
        <v>160</v>
      </c>
      <c r="E134" s="61">
        <v>4</v>
      </c>
      <c r="F134" s="138" t="e">
        <f>'P_EU Marinas_Scenario_Calc'!S65</f>
        <v>#DIV/0!</v>
      </c>
      <c r="G134" s="138" t="e">
        <f>'P_EU Marinas_Scenario_Calc'!T65</f>
        <v>#DIV/0!</v>
      </c>
      <c r="H134" s="138" t="e">
        <f>'P_EU Marinas_Scenario_Calc'!U65</f>
        <v>#DIV/0!</v>
      </c>
      <c r="I134" s="138" t="e">
        <f>'P_EU Marinas_Scenario_Calc'!V65</f>
        <v>#DIV/0!</v>
      </c>
      <c r="O134" s="64"/>
    </row>
    <row r="135" spans="1:15" x14ac:dyDescent="0.2">
      <c r="A135" s="64"/>
      <c r="C135" s="61" t="s">
        <v>164</v>
      </c>
      <c r="D135" s="61" t="s">
        <v>160</v>
      </c>
      <c r="E135" s="61">
        <v>5</v>
      </c>
      <c r="F135" s="138" t="e">
        <f>'P_EU Marinas_Scenario_Calc'!S66</f>
        <v>#DIV/0!</v>
      </c>
      <c r="G135" s="138" t="e">
        <f>'P_EU Marinas_Scenario_Calc'!T66</f>
        <v>#DIV/0!</v>
      </c>
      <c r="H135" s="138" t="e">
        <f>'P_EU Marinas_Scenario_Calc'!U66</f>
        <v>#DIV/0!</v>
      </c>
      <c r="I135" s="138" t="e">
        <f>'P_EU Marinas_Scenario_Calc'!V66</f>
        <v>#DIV/0!</v>
      </c>
      <c r="O135" s="64"/>
    </row>
    <row r="136" spans="1:15" x14ac:dyDescent="0.2">
      <c r="A136" s="64"/>
      <c r="C136" s="183" t="s">
        <v>172</v>
      </c>
      <c r="D136" s="183"/>
      <c r="E136" s="183"/>
      <c r="F136" s="138" t="e">
        <f>'P_Regulatory_ Marinas_Calc'!Q21</f>
        <v>#DIV/0!</v>
      </c>
      <c r="G136" s="138" t="e">
        <f>'P_Regulatory_ Marinas_Calc'!R21</f>
        <v>#DIV/0!</v>
      </c>
      <c r="H136" s="138" t="e">
        <f>'P_Regulatory_ Marinas_Calc'!S21</f>
        <v>#DIV/0!</v>
      </c>
      <c r="I136" s="138" t="e">
        <f>'P_Regulatory_ Marinas_Calc'!T21</f>
        <v>#DIV/0!</v>
      </c>
      <c r="O136" s="64"/>
    </row>
    <row r="137" spans="1:15" x14ac:dyDescent="0.2">
      <c r="A137" s="64"/>
      <c r="C137" s="183" t="s">
        <v>173</v>
      </c>
      <c r="D137" s="183"/>
      <c r="E137" s="183"/>
      <c r="F137" s="138" t="e">
        <f>'P_Regulatory_ Marinas_Calc'!Q22</f>
        <v>#DIV/0!</v>
      </c>
      <c r="G137" s="138" t="e">
        <f>'P_Regulatory_ Marinas_Calc'!R22</f>
        <v>#DIV/0!</v>
      </c>
      <c r="H137" s="138" t="e">
        <f>'P_Regulatory_ Marinas_Calc'!S22</f>
        <v>#DIV/0!</v>
      </c>
      <c r="I137" s="138" t="e">
        <f>'P_Regulatory_ Marinas_Calc'!T22</f>
        <v>#DIV/0!</v>
      </c>
      <c r="O137" s="64"/>
    </row>
    <row r="138" spans="1:15" x14ac:dyDescent="0.2">
      <c r="A138" s="64"/>
      <c r="B138" s="91"/>
      <c r="O138" s="64"/>
    </row>
    <row r="139" spans="1:15" x14ac:dyDescent="0.2">
      <c r="A139" s="64"/>
      <c r="B139" s="64"/>
      <c r="C139" s="64"/>
      <c r="D139" s="64"/>
      <c r="E139" s="64"/>
      <c r="F139" s="64"/>
      <c r="G139" s="64"/>
      <c r="H139" s="64"/>
      <c r="I139" s="64"/>
      <c r="J139" s="64"/>
      <c r="K139" s="64"/>
      <c r="L139" s="64"/>
      <c r="M139" s="64"/>
      <c r="N139" s="64"/>
      <c r="O139" s="64"/>
    </row>
    <row r="140" spans="1:15" hidden="1" x14ac:dyDescent="0.2"/>
    <row r="141" spans="1:15" hidden="1" x14ac:dyDescent="0.2"/>
    <row r="142" spans="1:15" hidden="1" x14ac:dyDescent="0.2"/>
    <row r="143" spans="1:15" hidden="1" x14ac:dyDescent="0.2"/>
    <row r="144" spans="1:15"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sheetData>
  <mergeCells count="18">
    <mergeCell ref="C137:E137"/>
    <mergeCell ref="C19:F19"/>
    <mergeCell ref="C21:G21"/>
    <mergeCell ref="C28:E28"/>
    <mergeCell ref="C29:E29"/>
    <mergeCell ref="C30:E30"/>
    <mergeCell ref="C31:E31"/>
    <mergeCell ref="D37:E37"/>
    <mergeCell ref="C84:E84"/>
    <mergeCell ref="C85:E85"/>
    <mergeCell ref="D89:E89"/>
    <mergeCell ref="C136:E136"/>
    <mergeCell ref="C18:F18"/>
    <mergeCell ref="C9:G9"/>
    <mergeCell ref="C11:G11"/>
    <mergeCell ref="C15:G15"/>
    <mergeCell ref="C16:F16"/>
    <mergeCell ref="C17:F17"/>
  </mergeCells>
  <conditionalFormatting sqref="F90:I137">
    <cfRule type="cellIs" dxfId="18" priority="1" operator="greaterThan">
      <formula>1</formula>
    </cfRule>
  </conditionalFormatting>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249977111117893"/>
  </sheetPr>
  <dimension ref="B2:O79"/>
  <sheetViews>
    <sheetView zoomScale="90" zoomScaleNormal="90" workbookViewId="0"/>
  </sheetViews>
  <sheetFormatPr defaultRowHeight="12.75" x14ac:dyDescent="0.2"/>
  <cols>
    <col min="1" max="1" width="9" style="3"/>
    <col min="2" max="2" width="22.625" style="3" customWidth="1"/>
    <col min="3" max="3" width="3.875" style="131" customWidth="1"/>
    <col min="4" max="4" width="6.375" style="3" customWidth="1"/>
    <col min="5" max="5" width="25.625" style="3" customWidth="1"/>
    <col min="6" max="13" width="11.625" style="3" customWidth="1"/>
    <col min="14" max="16384" width="9" style="3"/>
  </cols>
  <sheetData>
    <row r="2" spans="2:14" ht="21" thickBot="1" x14ac:dyDescent="0.35">
      <c r="B2" s="191" t="s">
        <v>103</v>
      </c>
      <c r="C2" s="191"/>
      <c r="D2" s="191"/>
      <c r="E2" s="191"/>
      <c r="F2" s="191"/>
      <c r="G2" s="191"/>
      <c r="H2" s="191"/>
      <c r="I2" s="191"/>
      <c r="J2" s="191"/>
      <c r="K2" s="191"/>
      <c r="L2" s="191"/>
      <c r="M2" s="191"/>
      <c r="N2" s="191"/>
    </row>
    <row r="3" spans="2:14" ht="13.5" thickTop="1" x14ac:dyDescent="0.2">
      <c r="B3" s="148" t="str">
        <f>Tooltype</f>
        <v>Freshwater calculator tool</v>
      </c>
      <c r="C3" s="130"/>
      <c r="D3"/>
      <c r="E3"/>
      <c r="F3"/>
      <c r="G3"/>
      <c r="H3"/>
      <c r="I3"/>
      <c r="J3"/>
      <c r="K3"/>
      <c r="L3"/>
      <c r="M3"/>
    </row>
    <row r="4" spans="2:14" ht="15" x14ac:dyDescent="0.2">
      <c r="B4" s="193" t="s">
        <v>88</v>
      </c>
      <c r="C4" s="193"/>
      <c r="D4" s="193"/>
      <c r="E4" s="193"/>
      <c r="F4" s="193"/>
      <c r="G4" s="193"/>
      <c r="H4" s="63"/>
      <c r="I4" s="63"/>
      <c r="J4" s="63"/>
      <c r="K4" s="63"/>
      <c r="L4" s="63"/>
      <c r="M4" s="63"/>
    </row>
    <row r="5" spans="2:14" x14ac:dyDescent="0.2">
      <c r="B5" s="192" t="s">
        <v>202</v>
      </c>
      <c r="C5" s="192"/>
      <c r="D5" s="192"/>
      <c r="E5" s="192"/>
      <c r="F5" s="192"/>
      <c r="G5" s="104">
        <f>C_PNEC_Aquatic_Inside</f>
        <v>7.8</v>
      </c>
      <c r="I5"/>
      <c r="J5"/>
      <c r="K5"/>
      <c r="L5"/>
      <c r="M5"/>
    </row>
    <row r="6" spans="2:14" x14ac:dyDescent="0.2">
      <c r="B6" s="192" t="s">
        <v>203</v>
      </c>
      <c r="C6" s="192"/>
      <c r="D6" s="192"/>
      <c r="E6" s="192"/>
      <c r="F6" s="192"/>
      <c r="G6" s="104">
        <f>C_PNEC_Sediment_Inside</f>
        <v>87</v>
      </c>
      <c r="I6"/>
      <c r="J6"/>
      <c r="K6"/>
      <c r="L6"/>
      <c r="M6"/>
    </row>
    <row r="7" spans="2:14" x14ac:dyDescent="0.2">
      <c r="B7" s="192" t="s">
        <v>204</v>
      </c>
      <c r="C7" s="192"/>
      <c r="D7" s="192"/>
      <c r="E7" s="192"/>
      <c r="F7" s="192"/>
      <c r="G7" s="104">
        <f>C_PNEC_Aquatic_Surrounding</f>
        <v>7.8</v>
      </c>
      <c r="I7"/>
      <c r="J7"/>
      <c r="K7"/>
      <c r="L7"/>
      <c r="M7"/>
    </row>
    <row r="8" spans="2:14" x14ac:dyDescent="0.2">
      <c r="B8" s="192" t="s">
        <v>205</v>
      </c>
      <c r="C8" s="192"/>
      <c r="D8" s="192"/>
      <c r="E8" s="192"/>
      <c r="F8" s="192"/>
      <c r="G8" s="104">
        <f>C_PNEC_Sediment_Surrounding</f>
        <v>87</v>
      </c>
      <c r="I8"/>
      <c r="J8"/>
      <c r="K8"/>
      <c r="L8"/>
      <c r="M8"/>
    </row>
    <row r="9" spans="2:14" x14ac:dyDescent="0.2">
      <c r="J9" s="91"/>
      <c r="K9" s="91"/>
      <c r="L9" s="91"/>
      <c r="M9" s="91"/>
    </row>
    <row r="10" spans="2:14" ht="15" x14ac:dyDescent="0.2">
      <c r="B10" s="171" t="s">
        <v>64</v>
      </c>
      <c r="C10" s="171"/>
      <c r="D10" s="171"/>
      <c r="E10" s="171"/>
      <c r="F10" s="171"/>
      <c r="G10" s="171"/>
      <c r="H10" s="171"/>
      <c r="I10" s="171"/>
      <c r="J10" s="91"/>
      <c r="K10" s="91"/>
      <c r="L10" s="91"/>
      <c r="M10" s="91"/>
    </row>
    <row r="11" spans="2:14" ht="99.95" customHeight="1" x14ac:dyDescent="0.2">
      <c r="B11" s="102" t="s">
        <v>9</v>
      </c>
      <c r="C11" s="93" t="s">
        <v>187</v>
      </c>
      <c r="D11" s="93" t="s">
        <v>186</v>
      </c>
      <c r="E11" s="102" t="s">
        <v>11</v>
      </c>
      <c r="F11" s="13" t="s">
        <v>210</v>
      </c>
      <c r="G11" s="13" t="s">
        <v>211</v>
      </c>
      <c r="H11" s="13" t="s">
        <v>212</v>
      </c>
      <c r="I11" s="13" t="s">
        <v>213</v>
      </c>
      <c r="J11" s="91"/>
      <c r="K11" s="91"/>
      <c r="L11" s="91"/>
      <c r="M11" s="91"/>
    </row>
    <row r="12" spans="2:14" ht="14.25" x14ac:dyDescent="0.2">
      <c r="B12" s="103" t="s">
        <v>106</v>
      </c>
      <c r="C12" s="132" t="s">
        <v>107</v>
      </c>
      <c r="D12" s="75">
        <v>1</v>
      </c>
      <c r="E12" s="124" t="str">
        <f t="shared" ref="E12:E57" si="0">Substance</f>
        <v>Copper and pyrithione</v>
      </c>
      <c r="F12" s="76" t="e">
        <f>'C+P_EU Marinas_Scenario_Calc'!F7</f>
        <v>#DIV/0!</v>
      </c>
      <c r="G12" s="76" t="e">
        <f>'C+P_EU Marinas_Scenario_Calc'!G7</f>
        <v>#DIV/0!</v>
      </c>
      <c r="H12" s="76" t="e">
        <f>'C+P_EU Marinas_Scenario_Calc'!H7</f>
        <v>#DIV/0!</v>
      </c>
      <c r="I12" s="76" t="e">
        <f>'C+P_EU Marinas_Scenario_Calc'!I7</f>
        <v>#DIV/0!</v>
      </c>
      <c r="J12" s="91"/>
      <c r="K12" s="91"/>
      <c r="L12" s="91"/>
      <c r="M12" s="91"/>
    </row>
    <row r="13" spans="2:14" ht="14.25" x14ac:dyDescent="0.2">
      <c r="B13" s="103" t="s">
        <v>108</v>
      </c>
      <c r="C13" s="132" t="s">
        <v>107</v>
      </c>
      <c r="D13" s="75">
        <v>2</v>
      </c>
      <c r="E13" s="124" t="str">
        <f t="shared" si="0"/>
        <v>Copper and pyrithione</v>
      </c>
      <c r="F13" s="76" t="e">
        <f>'C+P_EU Marinas_Scenario_Calc'!F8</f>
        <v>#DIV/0!</v>
      </c>
      <c r="G13" s="76" t="e">
        <f>'C+P_EU Marinas_Scenario_Calc'!G8</f>
        <v>#DIV/0!</v>
      </c>
      <c r="H13" s="76" t="e">
        <f>'C+P_EU Marinas_Scenario_Calc'!H8</f>
        <v>#DIV/0!</v>
      </c>
      <c r="I13" s="76" t="e">
        <f>'C+P_EU Marinas_Scenario_Calc'!I8</f>
        <v>#DIV/0!</v>
      </c>
      <c r="J13" s="91"/>
      <c r="K13" s="91"/>
      <c r="L13" s="91"/>
      <c r="M13" s="91"/>
    </row>
    <row r="14" spans="2:14" ht="14.25" x14ac:dyDescent="0.2">
      <c r="B14" s="103" t="s">
        <v>109</v>
      </c>
      <c r="C14" s="132" t="s">
        <v>107</v>
      </c>
      <c r="D14" s="75">
        <v>3</v>
      </c>
      <c r="E14" s="124" t="str">
        <f t="shared" si="0"/>
        <v>Copper and pyrithione</v>
      </c>
      <c r="F14" s="76" t="e">
        <f>'C+P_EU Marinas_Scenario_Calc'!F9</f>
        <v>#DIV/0!</v>
      </c>
      <c r="G14" s="76" t="e">
        <f>'C+P_EU Marinas_Scenario_Calc'!G9</f>
        <v>#DIV/0!</v>
      </c>
      <c r="H14" s="76" t="e">
        <f>'C+P_EU Marinas_Scenario_Calc'!H9</f>
        <v>#DIV/0!</v>
      </c>
      <c r="I14" s="76" t="e">
        <f>'C+P_EU Marinas_Scenario_Calc'!I9</f>
        <v>#DIV/0!</v>
      </c>
      <c r="J14" s="91"/>
      <c r="K14" s="91"/>
      <c r="L14" s="91"/>
      <c r="M14" s="91"/>
    </row>
    <row r="15" spans="2:14" ht="14.25" x14ac:dyDescent="0.2">
      <c r="B15" s="103" t="s">
        <v>110</v>
      </c>
      <c r="C15" s="132" t="s">
        <v>107</v>
      </c>
      <c r="D15" s="75">
        <v>4</v>
      </c>
      <c r="E15" s="124" t="str">
        <f t="shared" si="0"/>
        <v>Copper and pyrithione</v>
      </c>
      <c r="F15" s="76" t="e">
        <f>'C+P_EU Marinas_Scenario_Calc'!F10</f>
        <v>#DIV/0!</v>
      </c>
      <c r="G15" s="76" t="e">
        <f>'C+P_EU Marinas_Scenario_Calc'!G10</f>
        <v>#DIV/0!</v>
      </c>
      <c r="H15" s="76" t="e">
        <f>'C+P_EU Marinas_Scenario_Calc'!H10</f>
        <v>#DIV/0!</v>
      </c>
      <c r="I15" s="76" t="e">
        <f>'C+P_EU Marinas_Scenario_Calc'!I10</f>
        <v>#DIV/0!</v>
      </c>
      <c r="J15" s="91"/>
      <c r="K15" s="91"/>
      <c r="L15" s="91"/>
      <c r="M15" s="91"/>
    </row>
    <row r="16" spans="2:14" ht="14.25" x14ac:dyDescent="0.2">
      <c r="B16" s="103" t="s">
        <v>111</v>
      </c>
      <c r="C16" s="132" t="s">
        <v>107</v>
      </c>
      <c r="D16" s="75">
        <v>5</v>
      </c>
      <c r="E16" s="124" t="str">
        <f t="shared" si="0"/>
        <v>Copper and pyrithione</v>
      </c>
      <c r="F16" s="76" t="e">
        <f>'C+P_EU Marinas_Scenario_Calc'!F11</f>
        <v>#DIV/0!</v>
      </c>
      <c r="G16" s="76" t="e">
        <f>'C+P_EU Marinas_Scenario_Calc'!G11</f>
        <v>#DIV/0!</v>
      </c>
      <c r="H16" s="76" t="e">
        <f>'C+P_EU Marinas_Scenario_Calc'!H11</f>
        <v>#DIV/0!</v>
      </c>
      <c r="I16" s="76" t="e">
        <f>'C+P_EU Marinas_Scenario_Calc'!I11</f>
        <v>#DIV/0!</v>
      </c>
      <c r="J16" s="91"/>
      <c r="K16" s="91"/>
      <c r="L16" s="91"/>
      <c r="M16" s="91"/>
    </row>
    <row r="17" spans="2:13" ht="14.25" x14ac:dyDescent="0.2">
      <c r="B17" s="103" t="s">
        <v>112</v>
      </c>
      <c r="C17" s="132" t="s">
        <v>107</v>
      </c>
      <c r="D17" s="75">
        <v>6</v>
      </c>
      <c r="E17" s="124" t="str">
        <f t="shared" si="0"/>
        <v>Copper and pyrithione</v>
      </c>
      <c r="F17" s="76" t="e">
        <f>'C+P_EU Marinas_Scenario_Calc'!F12</f>
        <v>#DIV/0!</v>
      </c>
      <c r="G17" s="76" t="e">
        <f>'C+P_EU Marinas_Scenario_Calc'!G12</f>
        <v>#DIV/0!</v>
      </c>
      <c r="H17" s="76" t="e">
        <f>'C+P_EU Marinas_Scenario_Calc'!H12</f>
        <v>#DIV/0!</v>
      </c>
      <c r="I17" s="76" t="e">
        <f>'C+P_EU Marinas_Scenario_Calc'!I12</f>
        <v>#DIV/0!</v>
      </c>
      <c r="J17" s="91"/>
      <c r="K17" s="91"/>
      <c r="L17" s="91"/>
      <c r="M17" s="91"/>
    </row>
    <row r="18" spans="2:13" ht="14.25" x14ac:dyDescent="0.2">
      <c r="B18" s="103" t="s">
        <v>113</v>
      </c>
      <c r="C18" s="132" t="s">
        <v>107</v>
      </c>
      <c r="D18" s="75">
        <v>7</v>
      </c>
      <c r="E18" s="124" t="str">
        <f t="shared" si="0"/>
        <v>Copper and pyrithione</v>
      </c>
      <c r="F18" s="76" t="e">
        <f>'C+P_EU Marinas_Scenario_Calc'!F13</f>
        <v>#DIV/0!</v>
      </c>
      <c r="G18" s="76" t="e">
        <f>'C+P_EU Marinas_Scenario_Calc'!G13</f>
        <v>#DIV/0!</v>
      </c>
      <c r="H18" s="76" t="e">
        <f>'C+P_EU Marinas_Scenario_Calc'!H13</f>
        <v>#DIV/0!</v>
      </c>
      <c r="I18" s="76" t="e">
        <f>'C+P_EU Marinas_Scenario_Calc'!I13</f>
        <v>#DIV/0!</v>
      </c>
      <c r="J18" s="91"/>
      <c r="K18" s="91"/>
      <c r="L18" s="91"/>
      <c r="M18" s="91"/>
    </row>
    <row r="19" spans="2:13" ht="14.25" x14ac:dyDescent="0.2">
      <c r="B19" s="103" t="s">
        <v>114</v>
      </c>
      <c r="C19" s="132" t="s">
        <v>115</v>
      </c>
      <c r="D19" s="75">
        <v>2</v>
      </c>
      <c r="E19" s="124" t="str">
        <f t="shared" si="0"/>
        <v>Copper and pyrithione</v>
      </c>
      <c r="F19" s="76" t="e">
        <f>'C+P_EU Marinas_Scenario_Calc'!F14</f>
        <v>#DIV/0!</v>
      </c>
      <c r="G19" s="76" t="e">
        <f>'C+P_EU Marinas_Scenario_Calc'!G14</f>
        <v>#DIV/0!</v>
      </c>
      <c r="H19" s="76" t="e">
        <f>'C+P_EU Marinas_Scenario_Calc'!H14</f>
        <v>#DIV/0!</v>
      </c>
      <c r="I19" s="76" t="e">
        <f>'C+P_EU Marinas_Scenario_Calc'!I14</f>
        <v>#DIV/0!</v>
      </c>
      <c r="J19" s="91"/>
      <c r="K19" s="91"/>
      <c r="L19" s="91"/>
      <c r="M19" s="91"/>
    </row>
    <row r="20" spans="2:13" ht="14.25" x14ac:dyDescent="0.2">
      <c r="B20" s="103" t="s">
        <v>116</v>
      </c>
      <c r="C20" s="132" t="s">
        <v>115</v>
      </c>
      <c r="D20" s="75">
        <v>3</v>
      </c>
      <c r="E20" s="124" t="str">
        <f t="shared" si="0"/>
        <v>Copper and pyrithione</v>
      </c>
      <c r="F20" s="76" t="e">
        <f>'C+P_EU Marinas_Scenario_Calc'!F15</f>
        <v>#DIV/0!</v>
      </c>
      <c r="G20" s="76" t="e">
        <f>'C+P_EU Marinas_Scenario_Calc'!G15</f>
        <v>#DIV/0!</v>
      </c>
      <c r="H20" s="76" t="e">
        <f>'C+P_EU Marinas_Scenario_Calc'!H15</f>
        <v>#DIV/0!</v>
      </c>
      <c r="I20" s="76" t="e">
        <f>'C+P_EU Marinas_Scenario_Calc'!I15</f>
        <v>#DIV/0!</v>
      </c>
      <c r="J20" s="91"/>
      <c r="K20" s="91"/>
      <c r="L20" s="91"/>
      <c r="M20" s="91"/>
    </row>
    <row r="21" spans="2:13" ht="14.25" x14ac:dyDescent="0.2">
      <c r="B21" s="103" t="s">
        <v>117</v>
      </c>
      <c r="C21" s="132" t="s">
        <v>115</v>
      </c>
      <c r="D21" s="75">
        <v>5</v>
      </c>
      <c r="E21" s="124" t="str">
        <f t="shared" si="0"/>
        <v>Copper and pyrithione</v>
      </c>
      <c r="F21" s="76" t="e">
        <f>'C+P_EU Marinas_Scenario_Calc'!F16</f>
        <v>#DIV/0!</v>
      </c>
      <c r="G21" s="76" t="e">
        <f>'C+P_EU Marinas_Scenario_Calc'!G16</f>
        <v>#DIV/0!</v>
      </c>
      <c r="H21" s="76" t="e">
        <f>'C+P_EU Marinas_Scenario_Calc'!H16</f>
        <v>#DIV/0!</v>
      </c>
      <c r="I21" s="76" t="e">
        <f>'C+P_EU Marinas_Scenario_Calc'!I16</f>
        <v>#DIV/0!</v>
      </c>
      <c r="J21" s="91"/>
      <c r="K21" s="91"/>
      <c r="L21" s="91"/>
      <c r="M21" s="91"/>
    </row>
    <row r="22" spans="2:13" ht="14.25" x14ac:dyDescent="0.2">
      <c r="B22" s="103" t="s">
        <v>118</v>
      </c>
      <c r="C22" s="132" t="s">
        <v>115</v>
      </c>
      <c r="D22" s="75">
        <v>6</v>
      </c>
      <c r="E22" s="124" t="str">
        <f t="shared" si="0"/>
        <v>Copper and pyrithione</v>
      </c>
      <c r="F22" s="76" t="e">
        <f>'C+P_EU Marinas_Scenario_Calc'!F17</f>
        <v>#DIV/0!</v>
      </c>
      <c r="G22" s="76" t="e">
        <f>'C+P_EU Marinas_Scenario_Calc'!G17</f>
        <v>#DIV/0!</v>
      </c>
      <c r="H22" s="76" t="e">
        <f>'C+P_EU Marinas_Scenario_Calc'!H17</f>
        <v>#DIV/0!</v>
      </c>
      <c r="I22" s="76" t="e">
        <f>'C+P_EU Marinas_Scenario_Calc'!I17</f>
        <v>#DIV/0!</v>
      </c>
      <c r="J22" s="91"/>
      <c r="K22" s="91"/>
      <c r="L22" s="91"/>
      <c r="M22" s="91"/>
    </row>
    <row r="23" spans="2:13" ht="14.25" x14ac:dyDescent="0.2">
      <c r="B23" s="103" t="s">
        <v>119</v>
      </c>
      <c r="C23" s="132" t="s">
        <v>115</v>
      </c>
      <c r="D23" s="75">
        <v>11</v>
      </c>
      <c r="E23" s="124" t="str">
        <f t="shared" si="0"/>
        <v>Copper and pyrithione</v>
      </c>
      <c r="F23" s="76" t="e">
        <f>'C+P_EU Marinas_Scenario_Calc'!F18</f>
        <v>#DIV/0!</v>
      </c>
      <c r="G23" s="76" t="e">
        <f>'C+P_EU Marinas_Scenario_Calc'!G18</f>
        <v>#DIV/0!</v>
      </c>
      <c r="H23" s="76" t="e">
        <f>'C+P_EU Marinas_Scenario_Calc'!H18</f>
        <v>#DIV/0!</v>
      </c>
      <c r="I23" s="76" t="e">
        <f>'C+P_EU Marinas_Scenario_Calc'!I18</f>
        <v>#DIV/0!</v>
      </c>
      <c r="J23" s="91"/>
      <c r="K23" s="91"/>
      <c r="L23" s="91"/>
      <c r="M23" s="91"/>
    </row>
    <row r="24" spans="2:13" ht="14.25" x14ac:dyDescent="0.2">
      <c r="B24" s="103" t="s">
        <v>120</v>
      </c>
      <c r="C24" s="132" t="s">
        <v>115</v>
      </c>
      <c r="D24" s="75">
        <v>12</v>
      </c>
      <c r="E24" s="124" t="str">
        <f t="shared" si="0"/>
        <v>Copper and pyrithione</v>
      </c>
      <c r="F24" s="76" t="e">
        <f>'C+P_EU Marinas_Scenario_Calc'!F19</f>
        <v>#DIV/0!</v>
      </c>
      <c r="G24" s="76" t="e">
        <f>'C+P_EU Marinas_Scenario_Calc'!G19</f>
        <v>#DIV/0!</v>
      </c>
      <c r="H24" s="76" t="e">
        <f>'C+P_EU Marinas_Scenario_Calc'!H19</f>
        <v>#DIV/0!</v>
      </c>
      <c r="I24" s="76" t="e">
        <f>'C+P_EU Marinas_Scenario_Calc'!I19</f>
        <v>#DIV/0!</v>
      </c>
      <c r="J24" s="91"/>
      <c r="K24" s="91"/>
      <c r="L24" s="91"/>
      <c r="M24" s="91"/>
    </row>
    <row r="25" spans="2:13" ht="14.25" x14ac:dyDescent="0.2">
      <c r="B25" s="103" t="s">
        <v>121</v>
      </c>
      <c r="C25" s="132" t="s">
        <v>12</v>
      </c>
      <c r="D25" s="75" t="s">
        <v>122</v>
      </c>
      <c r="E25" s="124" t="str">
        <f t="shared" si="0"/>
        <v>Copper and pyrithione</v>
      </c>
      <c r="F25" s="76" t="e">
        <f>'C+P_EU Marinas_Scenario_Calc'!F20</f>
        <v>#DIV/0!</v>
      </c>
      <c r="G25" s="76" t="e">
        <f>'C+P_EU Marinas_Scenario_Calc'!G20</f>
        <v>#DIV/0!</v>
      </c>
      <c r="H25" s="76" t="e">
        <f>'C+P_EU Marinas_Scenario_Calc'!H20</f>
        <v>#DIV/0!</v>
      </c>
      <c r="I25" s="76" t="e">
        <f>'C+P_EU Marinas_Scenario_Calc'!I20</f>
        <v>#DIV/0!</v>
      </c>
      <c r="J25" s="91"/>
      <c r="K25" s="91"/>
      <c r="L25" s="91"/>
      <c r="M25" s="91"/>
    </row>
    <row r="26" spans="2:13" ht="14.25" x14ac:dyDescent="0.2">
      <c r="B26" s="103" t="s">
        <v>123</v>
      </c>
      <c r="C26" s="132" t="s">
        <v>12</v>
      </c>
      <c r="D26" s="75" t="s">
        <v>124</v>
      </c>
      <c r="E26" s="124" t="str">
        <f t="shared" si="0"/>
        <v>Copper and pyrithione</v>
      </c>
      <c r="F26" s="76" t="e">
        <f>'C+P_EU Marinas_Scenario_Calc'!F21</f>
        <v>#DIV/0!</v>
      </c>
      <c r="G26" s="76" t="e">
        <f>'C+P_EU Marinas_Scenario_Calc'!G21</f>
        <v>#DIV/0!</v>
      </c>
      <c r="H26" s="76" t="e">
        <f>'C+P_EU Marinas_Scenario_Calc'!H21</f>
        <v>#DIV/0!</v>
      </c>
      <c r="I26" s="76" t="e">
        <f>'C+P_EU Marinas_Scenario_Calc'!I21</f>
        <v>#DIV/0!</v>
      </c>
      <c r="J26" s="91"/>
      <c r="K26" s="91"/>
      <c r="L26" s="91"/>
      <c r="M26" s="91"/>
    </row>
    <row r="27" spans="2:13" ht="14.25" x14ac:dyDescent="0.2">
      <c r="B27" s="103" t="s">
        <v>125</v>
      </c>
      <c r="C27" s="132" t="s">
        <v>12</v>
      </c>
      <c r="D27" s="75" t="s">
        <v>126</v>
      </c>
      <c r="E27" s="124" t="str">
        <f t="shared" si="0"/>
        <v>Copper and pyrithione</v>
      </c>
      <c r="F27" s="76" t="e">
        <f>'C+P_EU Marinas_Scenario_Calc'!F22</f>
        <v>#DIV/0!</v>
      </c>
      <c r="G27" s="76" t="e">
        <f>'C+P_EU Marinas_Scenario_Calc'!G22</f>
        <v>#DIV/0!</v>
      </c>
      <c r="H27" s="76" t="e">
        <f>'C+P_EU Marinas_Scenario_Calc'!H22</f>
        <v>#DIV/0!</v>
      </c>
      <c r="I27" s="76" t="e">
        <f>'C+P_EU Marinas_Scenario_Calc'!I22</f>
        <v>#DIV/0!</v>
      </c>
      <c r="J27" s="91"/>
      <c r="K27" s="91"/>
      <c r="L27" s="91"/>
      <c r="M27" s="91"/>
    </row>
    <row r="28" spans="2:13" ht="14.25" x14ac:dyDescent="0.2">
      <c r="B28" s="103" t="s">
        <v>127</v>
      </c>
      <c r="C28" s="132" t="s">
        <v>12</v>
      </c>
      <c r="D28" s="75" t="s">
        <v>128</v>
      </c>
      <c r="E28" s="124" t="str">
        <f t="shared" si="0"/>
        <v>Copper and pyrithione</v>
      </c>
      <c r="F28" s="76" t="e">
        <f>'C+P_EU Marinas_Scenario_Calc'!F23</f>
        <v>#DIV/0!</v>
      </c>
      <c r="G28" s="76" t="e">
        <f>'C+P_EU Marinas_Scenario_Calc'!G23</f>
        <v>#DIV/0!</v>
      </c>
      <c r="H28" s="76" t="e">
        <f>'C+P_EU Marinas_Scenario_Calc'!H23</f>
        <v>#DIV/0!</v>
      </c>
      <c r="I28" s="76" t="e">
        <f>'C+P_EU Marinas_Scenario_Calc'!I23</f>
        <v>#DIV/0!</v>
      </c>
      <c r="J28" s="91"/>
      <c r="K28" s="91"/>
      <c r="L28" s="91"/>
      <c r="M28" s="91"/>
    </row>
    <row r="29" spans="2:13" ht="14.25" x14ac:dyDescent="0.2">
      <c r="B29" s="103" t="s">
        <v>129</v>
      </c>
      <c r="C29" s="132" t="s">
        <v>12</v>
      </c>
      <c r="D29" s="75" t="s">
        <v>130</v>
      </c>
      <c r="E29" s="124" t="str">
        <f t="shared" si="0"/>
        <v>Copper and pyrithione</v>
      </c>
      <c r="F29" s="76" t="e">
        <f>'C+P_EU Marinas_Scenario_Calc'!F24</f>
        <v>#DIV/0!</v>
      </c>
      <c r="G29" s="76" t="e">
        <f>'C+P_EU Marinas_Scenario_Calc'!G24</f>
        <v>#DIV/0!</v>
      </c>
      <c r="H29" s="76" t="e">
        <f>'C+P_EU Marinas_Scenario_Calc'!H24</f>
        <v>#DIV/0!</v>
      </c>
      <c r="I29" s="76" t="e">
        <f>'C+P_EU Marinas_Scenario_Calc'!I24</f>
        <v>#DIV/0!</v>
      </c>
      <c r="J29" s="91"/>
      <c r="K29" s="91"/>
      <c r="L29" s="91"/>
      <c r="M29" s="91"/>
    </row>
    <row r="30" spans="2:13" ht="14.25" x14ac:dyDescent="0.2">
      <c r="B30" s="103" t="s">
        <v>131</v>
      </c>
      <c r="C30" s="132" t="s">
        <v>12</v>
      </c>
      <c r="D30" s="75" t="s">
        <v>132</v>
      </c>
      <c r="E30" s="124" t="str">
        <f t="shared" si="0"/>
        <v>Copper and pyrithione</v>
      </c>
      <c r="F30" s="76" t="e">
        <f>'C+P_EU Marinas_Scenario_Calc'!F25</f>
        <v>#DIV/0!</v>
      </c>
      <c r="G30" s="76" t="e">
        <f>'C+P_EU Marinas_Scenario_Calc'!G25</f>
        <v>#DIV/0!</v>
      </c>
      <c r="H30" s="76" t="e">
        <f>'C+P_EU Marinas_Scenario_Calc'!H25</f>
        <v>#DIV/0!</v>
      </c>
      <c r="I30" s="76" t="e">
        <f>'C+P_EU Marinas_Scenario_Calc'!I25</f>
        <v>#DIV/0!</v>
      </c>
      <c r="J30" s="91"/>
      <c r="K30" s="91"/>
      <c r="L30" s="91"/>
      <c r="M30" s="91"/>
    </row>
    <row r="31" spans="2:13" ht="14.25" x14ac:dyDescent="0.2">
      <c r="B31" s="103" t="s">
        <v>133</v>
      </c>
      <c r="C31" s="132" t="s">
        <v>12</v>
      </c>
      <c r="D31" s="75" t="s">
        <v>134</v>
      </c>
      <c r="E31" s="124" t="str">
        <f t="shared" si="0"/>
        <v>Copper and pyrithione</v>
      </c>
      <c r="F31" s="76" t="e">
        <f>'C+P_EU Marinas_Scenario_Calc'!F26</f>
        <v>#DIV/0!</v>
      </c>
      <c r="G31" s="76" t="e">
        <f>'C+P_EU Marinas_Scenario_Calc'!G26</f>
        <v>#DIV/0!</v>
      </c>
      <c r="H31" s="76" t="e">
        <f>'C+P_EU Marinas_Scenario_Calc'!H26</f>
        <v>#DIV/0!</v>
      </c>
      <c r="I31" s="76" t="e">
        <f>'C+P_EU Marinas_Scenario_Calc'!I26</f>
        <v>#DIV/0!</v>
      </c>
      <c r="J31" s="91"/>
      <c r="K31" s="91"/>
      <c r="L31" s="91"/>
      <c r="M31" s="91"/>
    </row>
    <row r="32" spans="2:13" ht="14.25" x14ac:dyDescent="0.2">
      <c r="B32" s="103" t="s">
        <v>135</v>
      </c>
      <c r="C32" s="132" t="s">
        <v>12</v>
      </c>
      <c r="D32" s="75" t="s">
        <v>136</v>
      </c>
      <c r="E32" s="124" t="str">
        <f t="shared" si="0"/>
        <v>Copper and pyrithione</v>
      </c>
      <c r="F32" s="76" t="e">
        <f>'C+P_EU Marinas_Scenario_Calc'!F27</f>
        <v>#DIV/0!</v>
      </c>
      <c r="G32" s="76" t="e">
        <f>'C+P_EU Marinas_Scenario_Calc'!G27</f>
        <v>#DIV/0!</v>
      </c>
      <c r="H32" s="76" t="e">
        <f>'C+P_EU Marinas_Scenario_Calc'!H27</f>
        <v>#DIV/0!</v>
      </c>
      <c r="I32" s="76" t="e">
        <f>'C+P_EU Marinas_Scenario_Calc'!I27</f>
        <v>#DIV/0!</v>
      </c>
      <c r="J32" s="91"/>
      <c r="K32" s="91"/>
      <c r="L32" s="91"/>
      <c r="M32" s="91"/>
    </row>
    <row r="33" spans="2:13" ht="14.25" x14ac:dyDescent="0.2">
      <c r="B33" s="103" t="s">
        <v>137</v>
      </c>
      <c r="C33" s="132" t="s">
        <v>12</v>
      </c>
      <c r="D33" s="75" t="s">
        <v>138</v>
      </c>
      <c r="E33" s="124" t="str">
        <f t="shared" si="0"/>
        <v>Copper and pyrithione</v>
      </c>
      <c r="F33" s="76" t="e">
        <f>'C+P_EU Marinas_Scenario_Calc'!F28</f>
        <v>#DIV/0!</v>
      </c>
      <c r="G33" s="76" t="e">
        <f>'C+P_EU Marinas_Scenario_Calc'!G28</f>
        <v>#DIV/0!</v>
      </c>
      <c r="H33" s="76" t="e">
        <f>'C+P_EU Marinas_Scenario_Calc'!H28</f>
        <v>#DIV/0!</v>
      </c>
      <c r="I33" s="76" t="e">
        <f>'C+P_EU Marinas_Scenario_Calc'!I28</f>
        <v>#DIV/0!</v>
      </c>
      <c r="J33" s="91"/>
      <c r="K33" s="91"/>
      <c r="L33" s="91"/>
      <c r="M33" s="91"/>
    </row>
    <row r="34" spans="2:13" ht="14.25" x14ac:dyDescent="0.2">
      <c r="B34" s="103" t="s">
        <v>139</v>
      </c>
      <c r="C34" s="132" t="s">
        <v>12</v>
      </c>
      <c r="D34" s="75" t="s">
        <v>140</v>
      </c>
      <c r="E34" s="124" t="str">
        <f t="shared" si="0"/>
        <v>Copper and pyrithione</v>
      </c>
      <c r="F34" s="76" t="e">
        <f>'C+P_EU Marinas_Scenario_Calc'!F29</f>
        <v>#DIV/0!</v>
      </c>
      <c r="G34" s="76" t="e">
        <f>'C+P_EU Marinas_Scenario_Calc'!G29</f>
        <v>#DIV/0!</v>
      </c>
      <c r="H34" s="76" t="e">
        <f>'C+P_EU Marinas_Scenario_Calc'!H29</f>
        <v>#DIV/0!</v>
      </c>
      <c r="I34" s="76" t="e">
        <f>'C+P_EU Marinas_Scenario_Calc'!I29</f>
        <v>#DIV/0!</v>
      </c>
      <c r="J34" s="91"/>
      <c r="K34" s="91"/>
      <c r="L34" s="91"/>
      <c r="M34" s="91"/>
    </row>
    <row r="35" spans="2:13" ht="14.25" x14ac:dyDescent="0.2">
      <c r="B35" s="103" t="s">
        <v>141</v>
      </c>
      <c r="C35" s="132" t="s">
        <v>13</v>
      </c>
      <c r="D35" s="75">
        <v>1</v>
      </c>
      <c r="E35" s="124" t="str">
        <f t="shared" si="0"/>
        <v>Copper and pyrithione</v>
      </c>
      <c r="F35" s="76" t="e">
        <f>'C+P_EU Marinas_Scenario_Calc'!F30</f>
        <v>#DIV/0!</v>
      </c>
      <c r="G35" s="76" t="e">
        <f>'C+P_EU Marinas_Scenario_Calc'!G30</f>
        <v>#DIV/0!</v>
      </c>
      <c r="H35" s="76" t="e">
        <f>'C+P_EU Marinas_Scenario_Calc'!H30</f>
        <v>#DIV/0!</v>
      </c>
      <c r="I35" s="76" t="e">
        <f>'C+P_EU Marinas_Scenario_Calc'!I30</f>
        <v>#DIV/0!</v>
      </c>
      <c r="J35" s="91"/>
      <c r="K35" s="91"/>
      <c r="L35" s="91"/>
      <c r="M35" s="91"/>
    </row>
    <row r="36" spans="2:13" ht="14.25" x14ac:dyDescent="0.2">
      <c r="B36" s="103" t="s">
        <v>142</v>
      </c>
      <c r="C36" s="132" t="s">
        <v>13</v>
      </c>
      <c r="D36" s="75">
        <v>3</v>
      </c>
      <c r="E36" s="124" t="str">
        <f t="shared" si="0"/>
        <v>Copper and pyrithione</v>
      </c>
      <c r="F36" s="76" t="e">
        <f>'C+P_EU Marinas_Scenario_Calc'!F31</f>
        <v>#DIV/0!</v>
      </c>
      <c r="G36" s="76" t="e">
        <f>'C+P_EU Marinas_Scenario_Calc'!G31</f>
        <v>#DIV/0!</v>
      </c>
      <c r="H36" s="76" t="e">
        <f>'C+P_EU Marinas_Scenario_Calc'!H31</f>
        <v>#DIV/0!</v>
      </c>
      <c r="I36" s="76" t="e">
        <f>'C+P_EU Marinas_Scenario_Calc'!I31</f>
        <v>#DIV/0!</v>
      </c>
      <c r="J36" s="91"/>
      <c r="K36" s="91"/>
      <c r="L36" s="91"/>
      <c r="M36" s="91"/>
    </row>
    <row r="37" spans="2:13" ht="14.25" x14ac:dyDescent="0.2">
      <c r="B37" s="103" t="s">
        <v>143</v>
      </c>
      <c r="C37" s="132" t="s">
        <v>13</v>
      </c>
      <c r="D37" s="75">
        <v>4</v>
      </c>
      <c r="E37" s="124" t="str">
        <f t="shared" si="0"/>
        <v>Copper and pyrithione</v>
      </c>
      <c r="F37" s="76" t="e">
        <f>'C+P_EU Marinas_Scenario_Calc'!F32</f>
        <v>#DIV/0!</v>
      </c>
      <c r="G37" s="76" t="e">
        <f>'C+P_EU Marinas_Scenario_Calc'!G32</f>
        <v>#DIV/0!</v>
      </c>
      <c r="H37" s="76" t="e">
        <f>'C+P_EU Marinas_Scenario_Calc'!H32</f>
        <v>#DIV/0!</v>
      </c>
      <c r="I37" s="76" t="e">
        <f>'C+P_EU Marinas_Scenario_Calc'!I32</f>
        <v>#DIV/0!</v>
      </c>
      <c r="J37" s="91"/>
      <c r="K37" s="91"/>
      <c r="L37" s="91"/>
      <c r="M37" s="91"/>
    </row>
    <row r="38" spans="2:13" ht="14.25" x14ac:dyDescent="0.2">
      <c r="B38" s="103" t="s">
        <v>144</v>
      </c>
      <c r="C38" s="132" t="s">
        <v>13</v>
      </c>
      <c r="D38" s="75">
        <v>6</v>
      </c>
      <c r="E38" s="124" t="str">
        <f t="shared" si="0"/>
        <v>Copper and pyrithione</v>
      </c>
      <c r="F38" s="76" t="e">
        <f>'C+P_EU Marinas_Scenario_Calc'!F33</f>
        <v>#DIV/0!</v>
      </c>
      <c r="G38" s="76" t="e">
        <f>'C+P_EU Marinas_Scenario_Calc'!G33</f>
        <v>#DIV/0!</v>
      </c>
      <c r="H38" s="76" t="e">
        <f>'C+P_EU Marinas_Scenario_Calc'!H33</f>
        <v>#DIV/0!</v>
      </c>
      <c r="I38" s="76" t="e">
        <f>'C+P_EU Marinas_Scenario_Calc'!I33</f>
        <v>#DIV/0!</v>
      </c>
      <c r="J38" s="91"/>
      <c r="K38" s="91"/>
      <c r="L38" s="91"/>
      <c r="M38" s="91"/>
    </row>
    <row r="39" spans="2:13" ht="14.25" x14ac:dyDescent="0.2">
      <c r="B39" s="103" t="s">
        <v>145</v>
      </c>
      <c r="C39" s="132" t="s">
        <v>13</v>
      </c>
      <c r="D39" s="75">
        <v>7</v>
      </c>
      <c r="E39" s="124" t="str">
        <f t="shared" si="0"/>
        <v>Copper and pyrithione</v>
      </c>
      <c r="F39" s="76" t="e">
        <f>'C+P_EU Marinas_Scenario_Calc'!F34</f>
        <v>#DIV/0!</v>
      </c>
      <c r="G39" s="76" t="e">
        <f>'C+P_EU Marinas_Scenario_Calc'!G34</f>
        <v>#DIV/0!</v>
      </c>
      <c r="H39" s="76" t="e">
        <f>'C+P_EU Marinas_Scenario_Calc'!H34</f>
        <v>#DIV/0!</v>
      </c>
      <c r="I39" s="76" t="e">
        <f>'C+P_EU Marinas_Scenario_Calc'!I34</f>
        <v>#DIV/0!</v>
      </c>
      <c r="J39" s="91"/>
      <c r="K39" s="91"/>
      <c r="L39" s="91"/>
      <c r="M39" s="91"/>
    </row>
    <row r="40" spans="2:13" ht="14.25" x14ac:dyDescent="0.2">
      <c r="B40" s="103" t="s">
        <v>146</v>
      </c>
      <c r="C40" s="132" t="s">
        <v>13</v>
      </c>
      <c r="D40" s="75">
        <v>8</v>
      </c>
      <c r="E40" s="124" t="str">
        <f t="shared" si="0"/>
        <v>Copper and pyrithione</v>
      </c>
      <c r="F40" s="76" t="e">
        <f>'C+P_EU Marinas_Scenario_Calc'!F35</f>
        <v>#DIV/0!</v>
      </c>
      <c r="G40" s="76" t="e">
        <f>'C+P_EU Marinas_Scenario_Calc'!G35</f>
        <v>#DIV/0!</v>
      </c>
      <c r="H40" s="76" t="e">
        <f>'C+P_EU Marinas_Scenario_Calc'!H35</f>
        <v>#DIV/0!</v>
      </c>
      <c r="I40" s="76" t="e">
        <f>'C+P_EU Marinas_Scenario_Calc'!I35</f>
        <v>#DIV/0!</v>
      </c>
      <c r="J40" s="91"/>
      <c r="K40" s="91"/>
      <c r="L40" s="91"/>
      <c r="M40" s="91"/>
    </row>
    <row r="41" spans="2:13" ht="14.25" x14ac:dyDescent="0.2">
      <c r="B41" s="103" t="s">
        <v>147</v>
      </c>
      <c r="C41" s="132" t="s">
        <v>13</v>
      </c>
      <c r="D41" s="75">
        <v>14</v>
      </c>
      <c r="E41" s="124" t="str">
        <f t="shared" si="0"/>
        <v>Copper and pyrithione</v>
      </c>
      <c r="F41" s="76" t="e">
        <f>'C+P_EU Marinas_Scenario_Calc'!F36</f>
        <v>#DIV/0!</v>
      </c>
      <c r="G41" s="76" t="e">
        <f>'C+P_EU Marinas_Scenario_Calc'!G36</f>
        <v>#DIV/0!</v>
      </c>
      <c r="H41" s="76" t="e">
        <f>'C+P_EU Marinas_Scenario_Calc'!H36</f>
        <v>#DIV/0!</v>
      </c>
      <c r="I41" s="76" t="e">
        <f>'C+P_EU Marinas_Scenario_Calc'!I36</f>
        <v>#DIV/0!</v>
      </c>
      <c r="J41" s="91"/>
      <c r="K41" s="91"/>
      <c r="L41" s="91"/>
      <c r="M41" s="91"/>
    </row>
    <row r="42" spans="2:13" ht="14.25" x14ac:dyDescent="0.2">
      <c r="B42" s="103" t="s">
        <v>148</v>
      </c>
      <c r="C42" s="132" t="s">
        <v>13</v>
      </c>
      <c r="D42" s="75">
        <v>17</v>
      </c>
      <c r="E42" s="124" t="str">
        <f t="shared" si="0"/>
        <v>Copper and pyrithione</v>
      </c>
      <c r="F42" s="76" t="e">
        <f>'C+P_EU Marinas_Scenario_Calc'!F37</f>
        <v>#DIV/0!</v>
      </c>
      <c r="G42" s="76" t="e">
        <f>'C+P_EU Marinas_Scenario_Calc'!G37</f>
        <v>#DIV/0!</v>
      </c>
      <c r="H42" s="76" t="e">
        <f>'C+P_EU Marinas_Scenario_Calc'!H37</f>
        <v>#DIV/0!</v>
      </c>
      <c r="I42" s="76" t="e">
        <f>'C+P_EU Marinas_Scenario_Calc'!I37</f>
        <v>#DIV/0!</v>
      </c>
      <c r="J42" s="91"/>
      <c r="K42" s="91"/>
      <c r="L42" s="91"/>
      <c r="M42" s="91"/>
    </row>
    <row r="43" spans="2:13" ht="14.25" x14ac:dyDescent="0.2">
      <c r="B43" s="103" t="s">
        <v>149</v>
      </c>
      <c r="C43" s="132" t="s">
        <v>13</v>
      </c>
      <c r="D43" s="75">
        <v>21</v>
      </c>
      <c r="E43" s="124" t="str">
        <f t="shared" si="0"/>
        <v>Copper and pyrithione</v>
      </c>
      <c r="F43" s="76" t="e">
        <f>'C+P_EU Marinas_Scenario_Calc'!F38</f>
        <v>#DIV/0!</v>
      </c>
      <c r="G43" s="76" t="e">
        <f>'C+P_EU Marinas_Scenario_Calc'!G38</f>
        <v>#DIV/0!</v>
      </c>
      <c r="H43" s="76" t="e">
        <f>'C+P_EU Marinas_Scenario_Calc'!H38</f>
        <v>#DIV/0!</v>
      </c>
      <c r="I43" s="76" t="e">
        <f>'C+P_EU Marinas_Scenario_Calc'!I38</f>
        <v>#DIV/0!</v>
      </c>
      <c r="J43" s="91"/>
      <c r="K43" s="91"/>
      <c r="L43" s="91"/>
      <c r="M43" s="91"/>
    </row>
    <row r="44" spans="2:13" ht="14.25" x14ac:dyDescent="0.2">
      <c r="B44" s="103" t="s">
        <v>150</v>
      </c>
      <c r="C44" s="132" t="s">
        <v>13</v>
      </c>
      <c r="D44" s="75">
        <v>26</v>
      </c>
      <c r="E44" s="124" t="str">
        <f t="shared" si="0"/>
        <v>Copper and pyrithione</v>
      </c>
      <c r="F44" s="76" t="e">
        <f>'C+P_EU Marinas_Scenario_Calc'!F39</f>
        <v>#DIV/0!</v>
      </c>
      <c r="G44" s="76" t="e">
        <f>'C+P_EU Marinas_Scenario_Calc'!G39</f>
        <v>#DIV/0!</v>
      </c>
      <c r="H44" s="76" t="e">
        <f>'C+P_EU Marinas_Scenario_Calc'!H39</f>
        <v>#DIV/0!</v>
      </c>
      <c r="I44" s="76" t="e">
        <f>'C+P_EU Marinas_Scenario_Calc'!I39</f>
        <v>#DIV/0!</v>
      </c>
      <c r="J44" s="91"/>
      <c r="K44" s="91"/>
      <c r="L44" s="91"/>
      <c r="M44" s="91"/>
    </row>
    <row r="45" spans="2:13" ht="14.25" x14ac:dyDescent="0.2">
      <c r="B45" s="103" t="s">
        <v>151</v>
      </c>
      <c r="C45" s="132" t="s">
        <v>13</v>
      </c>
      <c r="D45" s="75">
        <v>30</v>
      </c>
      <c r="E45" s="124" t="str">
        <f t="shared" si="0"/>
        <v>Copper and pyrithione</v>
      </c>
      <c r="F45" s="76" t="e">
        <f>'C+P_EU Marinas_Scenario_Calc'!F40</f>
        <v>#DIV/0!</v>
      </c>
      <c r="G45" s="76" t="e">
        <f>'C+P_EU Marinas_Scenario_Calc'!G40</f>
        <v>#DIV/0!</v>
      </c>
      <c r="H45" s="76" t="e">
        <f>'C+P_EU Marinas_Scenario_Calc'!H40</f>
        <v>#DIV/0!</v>
      </c>
      <c r="I45" s="76" t="e">
        <f>'C+P_EU Marinas_Scenario_Calc'!I40</f>
        <v>#DIV/0!</v>
      </c>
      <c r="J45" s="91"/>
      <c r="K45" s="91"/>
      <c r="L45" s="91"/>
      <c r="M45" s="91"/>
    </row>
    <row r="46" spans="2:13" ht="14.25" x14ac:dyDescent="0.2">
      <c r="B46" s="103" t="s">
        <v>152</v>
      </c>
      <c r="C46" s="132" t="s">
        <v>13</v>
      </c>
      <c r="D46" s="75">
        <v>34</v>
      </c>
      <c r="E46" s="124" t="str">
        <f t="shared" si="0"/>
        <v>Copper and pyrithione</v>
      </c>
      <c r="F46" s="76" t="e">
        <f>'C+P_EU Marinas_Scenario_Calc'!F41</f>
        <v>#DIV/0!</v>
      </c>
      <c r="G46" s="76" t="e">
        <f>'C+P_EU Marinas_Scenario_Calc'!G41</f>
        <v>#DIV/0!</v>
      </c>
      <c r="H46" s="76" t="e">
        <f>'C+P_EU Marinas_Scenario_Calc'!H41</f>
        <v>#DIV/0!</v>
      </c>
      <c r="I46" s="76" t="e">
        <f>'C+P_EU Marinas_Scenario_Calc'!I41</f>
        <v>#DIV/0!</v>
      </c>
      <c r="J46" s="91"/>
      <c r="K46" s="91"/>
      <c r="L46" s="91"/>
      <c r="M46" s="91"/>
    </row>
    <row r="47" spans="2:13" ht="14.25" x14ac:dyDescent="0.2">
      <c r="B47" s="103" t="s">
        <v>153</v>
      </c>
      <c r="C47" s="132" t="s">
        <v>13</v>
      </c>
      <c r="D47" s="75">
        <v>40</v>
      </c>
      <c r="E47" s="124" t="str">
        <f t="shared" si="0"/>
        <v>Copper and pyrithione</v>
      </c>
      <c r="F47" s="76" t="e">
        <f>'C+P_EU Marinas_Scenario_Calc'!F42</f>
        <v>#DIV/0!</v>
      </c>
      <c r="G47" s="76" t="e">
        <f>'C+P_EU Marinas_Scenario_Calc'!G42</f>
        <v>#DIV/0!</v>
      </c>
      <c r="H47" s="76" t="e">
        <f>'C+P_EU Marinas_Scenario_Calc'!H42</f>
        <v>#DIV/0!</v>
      </c>
      <c r="I47" s="76" t="e">
        <f>'C+P_EU Marinas_Scenario_Calc'!I42</f>
        <v>#DIV/0!</v>
      </c>
      <c r="J47" s="91"/>
      <c r="K47" s="91"/>
      <c r="L47" s="91"/>
      <c r="M47" s="91"/>
    </row>
    <row r="48" spans="2:13" ht="14.25" x14ac:dyDescent="0.2">
      <c r="B48" s="103" t="s">
        <v>154</v>
      </c>
      <c r="C48" s="132" t="s">
        <v>13</v>
      </c>
      <c r="D48" s="75">
        <v>42</v>
      </c>
      <c r="E48" s="124" t="str">
        <f t="shared" si="0"/>
        <v>Copper and pyrithione</v>
      </c>
      <c r="F48" s="76" t="e">
        <f>'C+P_EU Marinas_Scenario_Calc'!F43</f>
        <v>#DIV/0!</v>
      </c>
      <c r="G48" s="76" t="e">
        <f>'C+P_EU Marinas_Scenario_Calc'!G43</f>
        <v>#DIV/0!</v>
      </c>
      <c r="H48" s="76" t="e">
        <f>'C+P_EU Marinas_Scenario_Calc'!H43</f>
        <v>#DIV/0!</v>
      </c>
      <c r="I48" s="76" t="e">
        <f>'C+P_EU Marinas_Scenario_Calc'!I43</f>
        <v>#DIV/0!</v>
      </c>
      <c r="J48" s="91"/>
      <c r="K48" s="91"/>
      <c r="L48" s="91"/>
      <c r="M48" s="91"/>
    </row>
    <row r="49" spans="2:15" ht="14.25" x14ac:dyDescent="0.2">
      <c r="B49" s="103" t="s">
        <v>155</v>
      </c>
      <c r="C49" s="132" t="s">
        <v>13</v>
      </c>
      <c r="D49" s="75">
        <v>44</v>
      </c>
      <c r="E49" s="124" t="str">
        <f t="shared" si="0"/>
        <v>Copper and pyrithione</v>
      </c>
      <c r="F49" s="76" t="e">
        <f>'C+P_EU Marinas_Scenario_Calc'!F44</f>
        <v>#DIV/0!</v>
      </c>
      <c r="G49" s="76" t="e">
        <f>'C+P_EU Marinas_Scenario_Calc'!G44</f>
        <v>#DIV/0!</v>
      </c>
      <c r="H49" s="76" t="e">
        <f>'C+P_EU Marinas_Scenario_Calc'!H44</f>
        <v>#DIV/0!</v>
      </c>
      <c r="I49" s="76" t="e">
        <f>'C+P_EU Marinas_Scenario_Calc'!I44</f>
        <v>#DIV/0!</v>
      </c>
      <c r="J49" s="91"/>
      <c r="K49" s="91"/>
      <c r="L49" s="91"/>
      <c r="M49" s="91"/>
    </row>
    <row r="50" spans="2:15" ht="14.25" x14ac:dyDescent="0.2">
      <c r="B50" s="103" t="s">
        <v>156</v>
      </c>
      <c r="C50" s="132" t="s">
        <v>13</v>
      </c>
      <c r="D50" s="75">
        <v>45</v>
      </c>
      <c r="E50" s="124" t="str">
        <f t="shared" si="0"/>
        <v>Copper and pyrithione</v>
      </c>
      <c r="F50" s="76" t="e">
        <f>'C+P_EU Marinas_Scenario_Calc'!F45</f>
        <v>#DIV/0!</v>
      </c>
      <c r="G50" s="76" t="e">
        <f>'C+P_EU Marinas_Scenario_Calc'!G45</f>
        <v>#DIV/0!</v>
      </c>
      <c r="H50" s="76" t="e">
        <f>'C+P_EU Marinas_Scenario_Calc'!H45</f>
        <v>#DIV/0!</v>
      </c>
      <c r="I50" s="76" t="e">
        <f>'C+P_EU Marinas_Scenario_Calc'!I45</f>
        <v>#DIV/0!</v>
      </c>
      <c r="J50" s="91"/>
      <c r="K50" s="91"/>
      <c r="L50" s="91"/>
      <c r="M50" s="91"/>
    </row>
    <row r="51" spans="2:15" ht="14.25" x14ac:dyDescent="0.2">
      <c r="B51" s="103" t="s">
        <v>157</v>
      </c>
      <c r="C51" s="132" t="s">
        <v>13</v>
      </c>
      <c r="D51" s="75">
        <v>46</v>
      </c>
      <c r="E51" s="124" t="str">
        <f t="shared" si="0"/>
        <v>Copper and pyrithione</v>
      </c>
      <c r="F51" s="76" t="e">
        <f>'C+P_EU Marinas_Scenario_Calc'!F46</f>
        <v>#DIV/0!</v>
      </c>
      <c r="G51" s="76" t="e">
        <f>'C+P_EU Marinas_Scenario_Calc'!G46</f>
        <v>#DIV/0!</v>
      </c>
      <c r="H51" s="76" t="e">
        <f>'C+P_EU Marinas_Scenario_Calc'!H46</f>
        <v>#DIV/0!</v>
      </c>
      <c r="I51" s="76" t="e">
        <f>'C+P_EU Marinas_Scenario_Calc'!I46</f>
        <v>#DIV/0!</v>
      </c>
      <c r="J51" s="91"/>
      <c r="K51" s="91"/>
      <c r="L51" s="91"/>
      <c r="M51" s="91"/>
    </row>
    <row r="52" spans="2:15" ht="14.25" x14ac:dyDescent="0.2">
      <c r="B52" s="103" t="s">
        <v>158</v>
      </c>
      <c r="C52" s="132" t="s">
        <v>13</v>
      </c>
      <c r="D52" s="75">
        <v>48</v>
      </c>
      <c r="E52" s="124" t="str">
        <f t="shared" si="0"/>
        <v>Copper and pyrithione</v>
      </c>
      <c r="F52" s="76" t="e">
        <f>'C+P_EU Marinas_Scenario_Calc'!F47</f>
        <v>#DIV/0!</v>
      </c>
      <c r="G52" s="76" t="e">
        <f>'C+P_EU Marinas_Scenario_Calc'!G47</f>
        <v>#DIV/0!</v>
      </c>
      <c r="H52" s="76" t="e">
        <f>'C+P_EU Marinas_Scenario_Calc'!H47</f>
        <v>#DIV/0!</v>
      </c>
      <c r="I52" s="76" t="e">
        <f>'C+P_EU Marinas_Scenario_Calc'!I47</f>
        <v>#DIV/0!</v>
      </c>
      <c r="J52" s="91"/>
      <c r="K52" s="91"/>
      <c r="L52" s="91"/>
      <c r="M52" s="91"/>
    </row>
    <row r="53" spans="2:15" ht="14.25" x14ac:dyDescent="0.2">
      <c r="B53" s="103" t="s">
        <v>159</v>
      </c>
      <c r="C53" s="132" t="s">
        <v>160</v>
      </c>
      <c r="D53" s="75">
        <v>1</v>
      </c>
      <c r="E53" s="124" t="str">
        <f t="shared" si="0"/>
        <v>Copper and pyrithione</v>
      </c>
      <c r="F53" s="76" t="e">
        <f>'C+P_EU Marinas_Scenario_Calc'!F48</f>
        <v>#DIV/0!</v>
      </c>
      <c r="G53" s="76" t="e">
        <f>'C+P_EU Marinas_Scenario_Calc'!G48</f>
        <v>#DIV/0!</v>
      </c>
      <c r="H53" s="76" t="e">
        <f>'C+P_EU Marinas_Scenario_Calc'!H48</f>
        <v>#DIV/0!</v>
      </c>
      <c r="I53" s="76" t="e">
        <f>'C+P_EU Marinas_Scenario_Calc'!I48</f>
        <v>#DIV/0!</v>
      </c>
      <c r="J53" s="91"/>
      <c r="K53" s="91"/>
      <c r="L53" s="91"/>
      <c r="M53" s="91"/>
    </row>
    <row r="54" spans="2:15" ht="14.25" x14ac:dyDescent="0.2">
      <c r="B54" s="103" t="s">
        <v>161</v>
      </c>
      <c r="C54" s="132" t="s">
        <v>160</v>
      </c>
      <c r="D54" s="75">
        <v>2</v>
      </c>
      <c r="E54" s="124" t="str">
        <f t="shared" si="0"/>
        <v>Copper and pyrithione</v>
      </c>
      <c r="F54" s="76" t="e">
        <f>'C+P_EU Marinas_Scenario_Calc'!F49</f>
        <v>#DIV/0!</v>
      </c>
      <c r="G54" s="76" t="e">
        <f>'C+P_EU Marinas_Scenario_Calc'!G49</f>
        <v>#DIV/0!</v>
      </c>
      <c r="H54" s="76" t="e">
        <f>'C+P_EU Marinas_Scenario_Calc'!H49</f>
        <v>#DIV/0!</v>
      </c>
      <c r="I54" s="76" t="e">
        <f>'C+P_EU Marinas_Scenario_Calc'!I49</f>
        <v>#DIV/0!</v>
      </c>
      <c r="J54" s="91"/>
      <c r="K54" s="91"/>
      <c r="L54" s="91"/>
      <c r="M54" s="91"/>
    </row>
    <row r="55" spans="2:15" ht="14.25" x14ac:dyDescent="0.2">
      <c r="B55" s="103" t="s">
        <v>162</v>
      </c>
      <c r="C55" s="132" t="s">
        <v>160</v>
      </c>
      <c r="D55" s="75">
        <v>3</v>
      </c>
      <c r="E55" s="124" t="str">
        <f t="shared" si="0"/>
        <v>Copper and pyrithione</v>
      </c>
      <c r="F55" s="76" t="e">
        <f>'C+P_EU Marinas_Scenario_Calc'!F50</f>
        <v>#DIV/0!</v>
      </c>
      <c r="G55" s="76" t="e">
        <f>'C+P_EU Marinas_Scenario_Calc'!G50</f>
        <v>#DIV/0!</v>
      </c>
      <c r="H55" s="76" t="e">
        <f>'C+P_EU Marinas_Scenario_Calc'!H50</f>
        <v>#DIV/0!</v>
      </c>
      <c r="I55" s="76" t="e">
        <f>'C+P_EU Marinas_Scenario_Calc'!I50</f>
        <v>#DIV/0!</v>
      </c>
      <c r="J55" s="91"/>
      <c r="K55" s="91"/>
      <c r="L55" s="91"/>
      <c r="M55" s="91"/>
    </row>
    <row r="56" spans="2:15" ht="14.25" x14ac:dyDescent="0.2">
      <c r="B56" s="103" t="s">
        <v>163</v>
      </c>
      <c r="C56" s="132" t="s">
        <v>160</v>
      </c>
      <c r="D56" s="75">
        <v>4</v>
      </c>
      <c r="E56" s="124" t="str">
        <f t="shared" si="0"/>
        <v>Copper and pyrithione</v>
      </c>
      <c r="F56" s="76" t="e">
        <f>'C+P_EU Marinas_Scenario_Calc'!F51</f>
        <v>#DIV/0!</v>
      </c>
      <c r="G56" s="76" t="e">
        <f>'C+P_EU Marinas_Scenario_Calc'!G51</f>
        <v>#DIV/0!</v>
      </c>
      <c r="H56" s="76" t="e">
        <f>'C+P_EU Marinas_Scenario_Calc'!H51</f>
        <v>#DIV/0!</v>
      </c>
      <c r="I56" s="76" t="e">
        <f>'C+P_EU Marinas_Scenario_Calc'!I51</f>
        <v>#DIV/0!</v>
      </c>
      <c r="J56" s="91"/>
      <c r="K56" s="91"/>
      <c r="L56" s="91"/>
      <c r="M56" s="91"/>
    </row>
    <row r="57" spans="2:15" ht="14.25" x14ac:dyDescent="0.2">
      <c r="B57" s="103" t="s">
        <v>164</v>
      </c>
      <c r="C57" s="132" t="s">
        <v>160</v>
      </c>
      <c r="D57" s="75">
        <v>5</v>
      </c>
      <c r="E57" s="124" t="str">
        <f t="shared" si="0"/>
        <v>Copper and pyrithione</v>
      </c>
      <c r="F57" s="76" t="e">
        <f>'C+P_EU Marinas_Scenario_Calc'!F52</f>
        <v>#DIV/0!</v>
      </c>
      <c r="G57" s="76" t="e">
        <f>'C+P_EU Marinas_Scenario_Calc'!G52</f>
        <v>#DIV/0!</v>
      </c>
      <c r="H57" s="76" t="e">
        <f>'C+P_EU Marinas_Scenario_Calc'!H52</f>
        <v>#DIV/0!</v>
      </c>
      <c r="I57" s="76" t="e">
        <f>'C+P_EU Marinas_Scenario_Calc'!I52</f>
        <v>#DIV/0!</v>
      </c>
      <c r="J57" s="91"/>
      <c r="K57" s="91"/>
      <c r="L57" s="91"/>
      <c r="M57" s="91"/>
    </row>
    <row r="58" spans="2:15" ht="14.25" x14ac:dyDescent="0.2">
      <c r="B58" s="190" t="s">
        <v>96</v>
      </c>
      <c r="C58" s="190"/>
      <c r="D58" s="190"/>
      <c r="E58" s="190"/>
      <c r="F58" s="76" t="e">
        <f>'C+P_EU Marinas_Scenario_Calc'!F55</f>
        <v>#DIV/0!</v>
      </c>
      <c r="G58" s="76" t="e">
        <f>'C+P_EU Marinas_Scenario_Calc'!G55</f>
        <v>#DIV/0!</v>
      </c>
      <c r="H58" s="76" t="e">
        <f>'C+P_EU Marinas_Scenario_Calc'!H55</f>
        <v>#DIV/0!</v>
      </c>
      <c r="I58" s="76" t="e">
        <f>'C+P_EU Marinas_Scenario_Calc'!I55</f>
        <v>#DIV/0!</v>
      </c>
      <c r="J58" s="91"/>
      <c r="K58" s="91"/>
      <c r="L58" s="91"/>
      <c r="M58" s="91"/>
    </row>
    <row r="59" spans="2:15" ht="14.25" x14ac:dyDescent="0.2">
      <c r="B59" s="190" t="s">
        <v>14</v>
      </c>
      <c r="C59" s="190"/>
      <c r="D59" s="190"/>
      <c r="E59" s="190"/>
      <c r="F59" s="76" t="e">
        <f>'C+P_EU Marinas_Scenario_Calc'!F53</f>
        <v>#DIV/0!</v>
      </c>
      <c r="G59" s="76" t="e">
        <f>'C+P_EU Marinas_Scenario_Calc'!G53</f>
        <v>#DIV/0!</v>
      </c>
      <c r="H59" s="76" t="e">
        <f>'C+P_EU Marinas_Scenario_Calc'!H53</f>
        <v>#DIV/0!</v>
      </c>
      <c r="I59" s="76" t="e">
        <f>'C+P_EU Marinas_Scenario_Calc'!I53</f>
        <v>#DIV/0!</v>
      </c>
      <c r="J59" s="91"/>
      <c r="K59" s="91"/>
      <c r="L59" s="91"/>
      <c r="M59" s="91"/>
    </row>
    <row r="60" spans="2:15" ht="14.25" x14ac:dyDescent="0.2">
      <c r="B60" s="190" t="s">
        <v>15</v>
      </c>
      <c r="C60" s="190"/>
      <c r="D60" s="190"/>
      <c r="E60" s="190"/>
      <c r="F60" s="76" t="e">
        <f>'C+P_EU Marinas_Scenario_Calc'!F54</f>
        <v>#DIV/0!</v>
      </c>
      <c r="G60" s="76" t="e">
        <f>'C+P_EU Marinas_Scenario_Calc'!G54</f>
        <v>#DIV/0!</v>
      </c>
      <c r="H60" s="76" t="e">
        <f>'C+P_EU Marinas_Scenario_Calc'!H54</f>
        <v>#DIV/0!</v>
      </c>
      <c r="I60" s="76" t="e">
        <f>'C+P_EU Marinas_Scenario_Calc'!I54</f>
        <v>#DIV/0!</v>
      </c>
      <c r="J60" s="91"/>
      <c r="K60" s="91"/>
      <c r="L60" s="91"/>
      <c r="M60" s="91"/>
    </row>
    <row r="61" spans="2:15" x14ac:dyDescent="0.2">
      <c r="C61" s="3"/>
      <c r="J61" s="91"/>
      <c r="K61" s="91"/>
      <c r="L61" s="91"/>
      <c r="M61" s="91"/>
    </row>
    <row r="62" spans="2:15" x14ac:dyDescent="0.2">
      <c r="B62"/>
      <c r="C62" s="130"/>
      <c r="D62"/>
      <c r="E62"/>
      <c r="F62"/>
      <c r="G62"/>
      <c r="H62"/>
      <c r="I62"/>
      <c r="J62" s="91"/>
      <c r="K62" s="91"/>
      <c r="L62" s="91"/>
      <c r="M62" s="91"/>
    </row>
    <row r="63" spans="2:15" x14ac:dyDescent="0.2">
      <c r="B63" s="67"/>
      <c r="C63" s="133"/>
      <c r="D63" s="67"/>
      <c r="E63" s="68"/>
      <c r="F63" s="69"/>
      <c r="G63" s="69"/>
      <c r="H63" s="69"/>
      <c r="I63" s="69"/>
      <c r="J63" s="91"/>
      <c r="K63" s="91"/>
      <c r="L63" s="91"/>
      <c r="M63" s="91"/>
      <c r="N63" s="15"/>
      <c r="O63" s="15"/>
    </row>
    <row r="64" spans="2:15" x14ac:dyDescent="0.2">
      <c r="B64" s="67"/>
      <c r="C64" s="133"/>
      <c r="D64" s="67"/>
      <c r="E64" s="68"/>
      <c r="F64" s="69"/>
      <c r="G64" s="69"/>
      <c r="H64" s="69"/>
      <c r="I64" s="69"/>
      <c r="J64" s="91"/>
      <c r="K64" s="91"/>
      <c r="L64" s="91"/>
      <c r="M64" s="91"/>
      <c r="N64" s="15"/>
      <c r="O64" s="15"/>
    </row>
    <row r="65" spans="2:15" x14ac:dyDescent="0.2">
      <c r="B65" s="67"/>
      <c r="C65" s="133"/>
      <c r="D65" s="67"/>
      <c r="E65" s="68"/>
      <c r="F65" s="69"/>
      <c r="G65" s="69"/>
      <c r="H65" s="69"/>
      <c r="I65" s="69"/>
      <c r="J65" s="91"/>
      <c r="K65" s="91"/>
      <c r="L65" s="91"/>
      <c r="M65" s="91"/>
      <c r="N65" s="15"/>
      <c r="O65" s="15"/>
    </row>
    <row r="66" spans="2:15" x14ac:dyDescent="0.2">
      <c r="B66" s="67"/>
      <c r="C66" s="133"/>
      <c r="D66" s="67"/>
      <c r="E66" s="68"/>
      <c r="F66" s="69"/>
      <c r="G66" s="69"/>
      <c r="H66" s="69"/>
      <c r="I66" s="69"/>
      <c r="J66" s="91"/>
      <c r="K66" s="91"/>
      <c r="L66" s="91"/>
      <c r="M66" s="91"/>
      <c r="N66" s="15"/>
      <c r="O66" s="15"/>
    </row>
    <row r="67" spans="2:15" x14ac:dyDescent="0.2">
      <c r="B67" s="67"/>
      <c r="C67" s="133"/>
      <c r="D67" s="67"/>
      <c r="E67" s="68"/>
      <c r="F67" s="69"/>
      <c r="G67" s="69"/>
      <c r="H67" s="69"/>
      <c r="I67" s="69"/>
      <c r="J67" s="91"/>
      <c r="K67" s="91"/>
      <c r="L67" s="91"/>
      <c r="M67" s="91"/>
      <c r="N67" s="15"/>
      <c r="O67" s="15"/>
    </row>
    <row r="68" spans="2:15" x14ac:dyDescent="0.2">
      <c r="B68" s="67"/>
      <c r="C68" s="133"/>
      <c r="D68" s="67"/>
      <c r="E68" s="68"/>
      <c r="F68" s="69"/>
      <c r="G68" s="69"/>
      <c r="H68" s="69"/>
      <c r="I68" s="69"/>
      <c r="J68" s="91"/>
      <c r="K68" s="91"/>
      <c r="L68" s="91"/>
      <c r="M68" s="91"/>
      <c r="N68" s="15"/>
      <c r="O68" s="15"/>
    </row>
    <row r="69" spans="2:15" x14ac:dyDescent="0.2">
      <c r="B69" s="67"/>
      <c r="C69" s="133"/>
      <c r="D69" s="67"/>
      <c r="E69" s="68"/>
      <c r="F69" s="69"/>
      <c r="G69" s="69"/>
      <c r="H69" s="69"/>
      <c r="I69" s="69"/>
      <c r="J69" s="91"/>
      <c r="K69" s="91"/>
      <c r="L69" s="91"/>
      <c r="M69" s="91"/>
      <c r="N69" s="15"/>
      <c r="O69" s="15"/>
    </row>
    <row r="70" spans="2:15" x14ac:dyDescent="0.2">
      <c r="B70" s="67"/>
      <c r="C70" s="133"/>
      <c r="D70" s="67"/>
      <c r="E70" s="68"/>
      <c r="F70" s="69"/>
      <c r="G70" s="69"/>
      <c r="H70" s="69"/>
      <c r="I70" s="69"/>
      <c r="J70" s="91"/>
      <c r="K70" s="91"/>
      <c r="L70" s="91"/>
      <c r="M70" s="91"/>
      <c r="N70" s="15"/>
      <c r="O70" s="15"/>
    </row>
    <row r="71" spans="2:15" x14ac:dyDescent="0.2">
      <c r="B71" s="67"/>
      <c r="C71" s="133"/>
      <c r="D71" s="67"/>
      <c r="E71" s="68"/>
      <c r="F71" s="69"/>
      <c r="G71" s="69"/>
      <c r="H71" s="69"/>
      <c r="I71" s="69"/>
      <c r="J71" s="91"/>
      <c r="K71" s="91"/>
      <c r="L71" s="91"/>
      <c r="M71" s="91"/>
      <c r="N71" s="15"/>
      <c r="O71" s="15"/>
    </row>
    <row r="72" spans="2:15" x14ac:dyDescent="0.2">
      <c r="B72" s="67"/>
      <c r="C72" s="133"/>
      <c r="D72" s="67"/>
      <c r="E72" s="68"/>
      <c r="F72" s="69"/>
      <c r="G72" s="69"/>
      <c r="H72" s="69"/>
      <c r="I72" s="69"/>
      <c r="J72" s="91"/>
      <c r="K72" s="91"/>
      <c r="L72" s="91"/>
      <c r="M72" s="91"/>
      <c r="N72" s="15"/>
      <c r="O72" s="15"/>
    </row>
    <row r="73" spans="2:15" x14ac:dyDescent="0.2">
      <c r="B73" s="67"/>
      <c r="C73" s="133"/>
      <c r="D73" s="67"/>
      <c r="E73" s="68"/>
      <c r="F73" s="69"/>
      <c r="G73" s="69"/>
      <c r="H73" s="69"/>
      <c r="I73" s="69"/>
      <c r="J73" s="67"/>
      <c r="K73" s="67"/>
      <c r="L73" s="67"/>
      <c r="M73" s="67"/>
      <c r="N73" s="15"/>
      <c r="O73" s="15"/>
    </row>
    <row r="74" spans="2:15" x14ac:dyDescent="0.2">
      <c r="B74" s="67"/>
      <c r="C74" s="133"/>
      <c r="D74" s="67"/>
      <c r="E74" s="68"/>
      <c r="F74" s="69"/>
      <c r="G74" s="69"/>
      <c r="H74" s="69"/>
      <c r="I74" s="69"/>
      <c r="J74" s="67"/>
      <c r="K74" s="67"/>
      <c r="L74" s="67"/>
      <c r="M74" s="67"/>
      <c r="N74" s="15"/>
      <c r="O74" s="15"/>
    </row>
    <row r="75" spans="2:15" x14ac:dyDescent="0.2">
      <c r="B75" s="67"/>
      <c r="C75" s="133"/>
      <c r="D75" s="67"/>
      <c r="E75" s="68"/>
      <c r="F75" s="69"/>
      <c r="G75" s="69"/>
      <c r="H75" s="69"/>
      <c r="I75" s="69"/>
      <c r="J75" s="67"/>
      <c r="K75" s="67"/>
      <c r="L75" s="67"/>
      <c r="M75" s="67"/>
      <c r="N75" s="15"/>
      <c r="O75" s="15"/>
    </row>
    <row r="76" spans="2:15" x14ac:dyDescent="0.2">
      <c r="B76" s="67"/>
      <c r="C76" s="133"/>
      <c r="D76" s="67"/>
      <c r="E76" s="68"/>
      <c r="F76" s="69"/>
      <c r="G76" s="69"/>
      <c r="H76" s="69"/>
      <c r="I76" s="69"/>
      <c r="J76" s="67"/>
      <c r="K76" s="67"/>
      <c r="L76" s="67"/>
      <c r="M76" s="67"/>
      <c r="N76" s="15"/>
      <c r="O76" s="15"/>
    </row>
    <row r="77" spans="2:15" x14ac:dyDescent="0.2">
      <c r="B77" s="67"/>
      <c r="C77" s="133"/>
      <c r="D77" s="67"/>
      <c r="E77" s="68"/>
      <c r="F77" s="69"/>
      <c r="G77" s="69"/>
      <c r="H77" s="69"/>
      <c r="I77" s="69"/>
      <c r="J77" s="67"/>
      <c r="K77" s="67"/>
      <c r="L77" s="67"/>
      <c r="M77" s="67"/>
      <c r="N77" s="15"/>
      <c r="O77" s="15"/>
    </row>
    <row r="78" spans="2:15" x14ac:dyDescent="0.2">
      <c r="B78" s="15"/>
      <c r="C78" s="134"/>
      <c r="D78" s="15"/>
      <c r="E78" s="15"/>
      <c r="F78" s="15"/>
      <c r="G78" s="15"/>
      <c r="H78" s="15"/>
      <c r="I78" s="15"/>
      <c r="J78" s="15"/>
      <c r="K78" s="15"/>
      <c r="L78" s="15"/>
      <c r="M78" s="15"/>
      <c r="N78" s="15"/>
      <c r="O78" s="15"/>
    </row>
    <row r="79" spans="2:15" x14ac:dyDescent="0.2">
      <c r="B79" s="15"/>
      <c r="C79" s="134"/>
      <c r="D79" s="15"/>
      <c r="E79" s="15"/>
      <c r="F79" s="15"/>
      <c r="G79" s="15"/>
      <c r="H79" s="15"/>
      <c r="I79" s="15"/>
      <c r="J79" s="15"/>
      <c r="K79" s="15"/>
      <c r="L79" s="15"/>
      <c r="M79" s="15"/>
      <c r="N79" s="15"/>
      <c r="O79" s="15"/>
    </row>
  </sheetData>
  <mergeCells count="10">
    <mergeCell ref="B58:E58"/>
    <mergeCell ref="B59:E59"/>
    <mergeCell ref="B60:E60"/>
    <mergeCell ref="B2:N2"/>
    <mergeCell ref="B8:F8"/>
    <mergeCell ref="B7:F7"/>
    <mergeCell ref="B6:F6"/>
    <mergeCell ref="B5:F5"/>
    <mergeCell ref="B4:G4"/>
    <mergeCell ref="B10:I10"/>
  </mergeCells>
  <conditionalFormatting sqref="F12:I60">
    <cfRule type="cellIs" dxfId="17" priority="1" operator="lessThan">
      <formula>1</formula>
    </cfRule>
    <cfRule type="cellIs" dxfId="16" priority="2" operator="greaterThan">
      <formula>1</formula>
    </cfRule>
    <cfRule type="cellIs" dxfId="15" priority="3" operator="equal">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44</vt:i4>
      </vt:variant>
    </vt:vector>
  </HeadingPairs>
  <TitlesOfParts>
    <vt:vector size="66" baseType="lpstr">
      <vt:lpstr> Introduction</vt:lpstr>
      <vt:lpstr>Instructions</vt:lpstr>
      <vt:lpstr>Index</vt:lpstr>
      <vt:lpstr>C_User_Input</vt:lpstr>
      <vt:lpstr>P_User_Input</vt:lpstr>
      <vt:lpstr>C+P_Output_Summary</vt:lpstr>
      <vt:lpstr>C_Output_Summary</vt:lpstr>
      <vt:lpstr>P_Output_Summary</vt:lpstr>
      <vt:lpstr>C+P_Output_EU marinas</vt:lpstr>
      <vt:lpstr>C+P_Output_Regulatory_Marinas</vt:lpstr>
      <vt:lpstr>C_Output_EU marinas</vt:lpstr>
      <vt:lpstr>C_Output_Regulatory_Marinas</vt:lpstr>
      <vt:lpstr>P_Output_EU marinas</vt:lpstr>
      <vt:lpstr>P_Output_Regulatory_Marinas</vt:lpstr>
      <vt:lpstr>Copper_Input</vt:lpstr>
      <vt:lpstr>Pyrithione_Input</vt:lpstr>
      <vt:lpstr>C+P_EU Marinas_Scenario_Calc</vt:lpstr>
      <vt:lpstr>C+P_Regulatory_ Marinas_Calc</vt:lpstr>
      <vt:lpstr>C_EU Marinas_Scenario_Calc</vt:lpstr>
      <vt:lpstr>C_Regulatory_ Marinas_Calc</vt:lpstr>
      <vt:lpstr>P_EU Marinas_Scenario_Calc</vt:lpstr>
      <vt:lpstr>P_Regulatory_ Marinas_Calc</vt:lpstr>
      <vt:lpstr>Application_Conversion_Factor</vt:lpstr>
      <vt:lpstr>Application_Factor</vt:lpstr>
      <vt:lpstr>C_a</vt:lpstr>
      <vt:lpstr>C_Average_biocide_release_over_the_lifetime_of_the_paint_C</vt:lpstr>
      <vt:lpstr>C_Average_biocide_release_over_the_lifetime_of_the_paint_M</vt:lpstr>
      <vt:lpstr>C_Background_Sed_Freshwater</vt:lpstr>
      <vt:lpstr>C_Background_SW_Freshwater</vt:lpstr>
      <vt:lpstr>C_Compound_Name</vt:lpstr>
      <vt:lpstr>C_DFT</vt:lpstr>
      <vt:lpstr>C_La</vt:lpstr>
      <vt:lpstr>C_Leaching_Conversion_Factor</vt:lpstr>
      <vt:lpstr>C_Mrel</vt:lpstr>
      <vt:lpstr>C_PNEC_Aquatic_Inside</vt:lpstr>
      <vt:lpstr>C_PNEC_Aquatic_Surrounding</vt:lpstr>
      <vt:lpstr>C_PNEC_Sediment_Inside</vt:lpstr>
      <vt:lpstr>C_PNEC_Sediment_Surrounding</vt:lpstr>
      <vt:lpstr>C_t</vt:lpstr>
      <vt:lpstr>C_VS</vt:lpstr>
      <vt:lpstr>C_ƿ</vt:lpstr>
      <vt:lpstr>C_Wa</vt:lpstr>
      <vt:lpstr>P_User_Input!P_a</vt:lpstr>
      <vt:lpstr>P_Average_biocide_release_over_the_lifetime_of_the_paint_C</vt:lpstr>
      <vt:lpstr>P_Average_biocide_release_over_the_lifetime_of_the_paint_M</vt:lpstr>
      <vt:lpstr>P_Background_Sed_Freshwater</vt:lpstr>
      <vt:lpstr>P_Background_SW_Freshwater</vt:lpstr>
      <vt:lpstr>P_Compound_Name</vt:lpstr>
      <vt:lpstr>P_User_Input!P_DFT</vt:lpstr>
      <vt:lpstr>P_User_Input!P_La</vt:lpstr>
      <vt:lpstr>P_Leaching_Conversion_Factor</vt:lpstr>
      <vt:lpstr>P_User_Input!P_Mrel</vt:lpstr>
      <vt:lpstr>P_PNEC_Aquatic_Inside</vt:lpstr>
      <vt:lpstr>P_PNEC_Aquatic_Surrounding</vt:lpstr>
      <vt:lpstr>P_PNEC_Sediment_Inside</vt:lpstr>
      <vt:lpstr>P_PNEC_Sediment_Surrounding</vt:lpstr>
      <vt:lpstr>P_User_Input!P_t</vt:lpstr>
      <vt:lpstr>P_User_Input!P_VS</vt:lpstr>
      <vt:lpstr>P_User_Input!P_ƿ</vt:lpstr>
      <vt:lpstr>P_User_Input!P_Wa</vt:lpstr>
      <vt:lpstr>Substance</vt:lpstr>
      <vt:lpstr>Tooltype</vt:lpstr>
      <vt:lpstr>Version</vt:lpstr>
      <vt:lpstr>WSA_ConversionFactor</vt:lpstr>
      <vt:lpstr>WSA_freshwater</vt:lpstr>
      <vt:lpstr>WSA_OECD_default</vt:lpstr>
    </vt:vector>
  </TitlesOfParts>
  <Company>Health and Safety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Name</dc:creator>
  <cp:lastModifiedBy>Joost Bakker</cp:lastModifiedBy>
  <dcterms:created xsi:type="dcterms:W3CDTF">2016-11-10T11:47:25Z</dcterms:created>
  <dcterms:modified xsi:type="dcterms:W3CDTF">2017-10-13T15:16:49Z</dcterms:modified>
</cp:coreProperties>
</file>