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9795" tabRatio="862"/>
  </bookViews>
  <sheets>
    <sheet name=" Introduction" sheetId="1" r:id="rId1"/>
    <sheet name="Instructions" sheetId="2" r:id="rId2"/>
    <sheet name="Index" sheetId="11" r:id="rId3"/>
    <sheet name="User_Input" sheetId="10" r:id="rId4"/>
    <sheet name="Output_Summary" sheetId="20" r:id="rId5"/>
    <sheet name="Output_EU marinas" sheetId="4" r:id="rId6"/>
    <sheet name="Output_Regulatory_Marinas" sheetId="26" r:id="rId7"/>
    <sheet name="Active_Subst_Input" sheetId="3" r:id="rId8"/>
    <sheet name="EU Marinas_Scenario_Calc" sheetId="6" state="hidden" r:id="rId9"/>
    <sheet name="Regulatory_ Marinas_Calc" sheetId="25" state="hidden" r:id="rId10"/>
  </sheets>
  <definedNames>
    <definedName name="a">User_Input!$I$22</definedName>
    <definedName name="Application_Conversion_Factor">'EU Marinas_Scenario_Calc'!$G$17</definedName>
    <definedName name="Application_Factor">User_Input!$H$7</definedName>
    <definedName name="Average_biocide_release_over_the_lifetime_of_the_paint_C">User_Input!$I$30</definedName>
    <definedName name="Average_biocide_release_over_the_lifetime_of_the_paint_M">User_Input!$H$11</definedName>
    <definedName name="Background_Sed_Freshwater">User_Input!$C$20</definedName>
    <definedName name="Background_SW_Freshwater">User_Input!$C$19</definedName>
    <definedName name="Compound_Name">Active_Subst_Input!$C$6</definedName>
    <definedName name="DFT">User_Input!$I$25</definedName>
    <definedName name="La">User_Input!$I$21</definedName>
    <definedName name="Leaching_Conversion_Factor">'EU Marinas_Scenario_Calc'!$G$11</definedName>
    <definedName name="Mrel">User_Input!$I$29</definedName>
    <definedName name="O_Application_Conversion_Factor">'Regulatory_ Marinas_Calc'!$G$17</definedName>
    <definedName name="O_Leaching_Conversion_Factor">'Regulatory_ Marinas_Calc'!$G$11</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Substance">' Introduction'!$B$4</definedName>
    <definedName name="t">User_Input!$I$27</definedName>
    <definedName name="Tooltype">' Introduction'!$B$5</definedName>
    <definedName name="Version">' Introduction'!$B$3</definedName>
    <definedName name="VS">User_Input!$I$26</definedName>
    <definedName name="ƿ">User_Input!$I$24</definedName>
    <definedName name="Wa">User_Input!$I$23</definedName>
    <definedName name="WSA_ConversionFactor">'EU Marinas_Scenario_Calc'!$P$8</definedName>
    <definedName name="WSA_freshwater">'EU Marinas_Scenario_Calc'!$P$7</definedName>
    <definedName name="WSA_OECD_default">'EU Marinas_Scenario_Calc'!$P$6</definedName>
  </definedNames>
  <calcPr calcId="145621"/>
</workbook>
</file>

<file path=xl/calcChain.xml><?xml version="1.0" encoding="utf-8"?>
<calcChain xmlns="http://schemas.openxmlformats.org/spreadsheetml/2006/main">
  <c r="J21" i="25" l="1"/>
  <c r="K21" i="25"/>
  <c r="L21" i="25"/>
  <c r="J22" i="25"/>
  <c r="K22" i="25"/>
  <c r="L22" i="25"/>
  <c r="I22" i="25"/>
  <c r="I21" i="25"/>
  <c r="P8" i="6" l="1"/>
  <c r="B6" i="10" l="1"/>
  <c r="P22" i="25" l="1"/>
  <c r="O22" i="25"/>
  <c r="N22" i="25"/>
  <c r="M22" i="25"/>
  <c r="C22" i="25"/>
  <c r="P21" i="25"/>
  <c r="O21" i="25"/>
  <c r="N21" i="25"/>
  <c r="M21" i="25"/>
  <c r="C21" i="25"/>
  <c r="G16" i="25"/>
  <c r="G17" i="25" s="1"/>
  <c r="G9" i="25"/>
  <c r="G7" i="25"/>
  <c r="B3" i="25"/>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R21" i="6"/>
  <c r="Q21" i="6"/>
  <c r="P21" i="6"/>
  <c r="O21" i="6"/>
  <c r="E21" i="6"/>
  <c r="G16" i="6"/>
  <c r="G17" i="6" s="1"/>
  <c r="G9" i="6"/>
  <c r="G7" i="6"/>
  <c r="B3" i="6"/>
  <c r="C13" i="26"/>
  <c r="C12" i="26"/>
  <c r="E8" i="26"/>
  <c r="E7" i="26"/>
  <c r="E6" i="26"/>
  <c r="E5" i="26"/>
  <c r="B3" i="26"/>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G8" i="4"/>
  <c r="G7" i="4"/>
  <c r="G6" i="4"/>
  <c r="G5" i="4"/>
  <c r="B3" i="4"/>
  <c r="G23" i="20"/>
  <c r="F23" i="20"/>
  <c r="G19" i="20"/>
  <c r="G18" i="20"/>
  <c r="G17" i="20"/>
  <c r="G16" i="20"/>
  <c r="F12" i="20"/>
  <c r="D7" i="20"/>
  <c r="D6" i="20"/>
  <c r="C4" i="20"/>
  <c r="M3" i="20"/>
  <c r="B3" i="3"/>
  <c r="I29" i="10"/>
  <c r="I30" i="10" s="1"/>
  <c r="B3" i="10"/>
  <c r="B3" i="11"/>
  <c r="B3" i="2"/>
  <c r="G8" i="25" l="1"/>
  <c r="G10" i="25"/>
  <c r="G11" i="25" s="1"/>
  <c r="G8" i="6"/>
  <c r="F13" i="20"/>
  <c r="G10" i="6"/>
  <c r="G11" i="6" s="1"/>
  <c r="N66" i="6" l="1"/>
  <c r="L66" i="6"/>
  <c r="N65" i="6"/>
  <c r="L65" i="6"/>
  <c r="N64" i="6"/>
  <c r="L64" i="6"/>
  <c r="N63" i="6"/>
  <c r="L63" i="6"/>
  <c r="N62" i="6"/>
  <c r="L62" i="6"/>
  <c r="N61" i="6"/>
  <c r="L61" i="6"/>
  <c r="N60" i="6"/>
  <c r="L60" i="6"/>
  <c r="N59" i="6"/>
  <c r="L59" i="6"/>
  <c r="N58" i="6"/>
  <c r="L58" i="6"/>
  <c r="N57" i="6"/>
  <c r="L57" i="6"/>
  <c r="N56" i="6"/>
  <c r="L56" i="6"/>
  <c r="N55" i="6"/>
  <c r="L55" i="6"/>
  <c r="N54" i="6"/>
  <c r="L54" i="6"/>
  <c r="N53" i="6"/>
  <c r="L53" i="6"/>
  <c r="N52" i="6"/>
  <c r="L52" i="6"/>
  <c r="N51" i="6"/>
  <c r="L51" i="6"/>
  <c r="N50" i="6"/>
  <c r="L50" i="6"/>
  <c r="N49" i="6"/>
  <c r="L49" i="6"/>
  <c r="N48" i="6"/>
  <c r="L48" i="6"/>
  <c r="N47" i="6"/>
  <c r="L47" i="6"/>
  <c r="N46" i="6"/>
  <c r="L46" i="6"/>
  <c r="N45" i="6"/>
  <c r="L45" i="6"/>
  <c r="N44" i="6"/>
  <c r="L44" i="6"/>
  <c r="N43" i="6"/>
  <c r="L43" i="6"/>
  <c r="N42" i="6"/>
  <c r="L42" i="6"/>
  <c r="N41" i="6"/>
  <c r="L41" i="6"/>
  <c r="N40" i="6"/>
  <c r="L40" i="6"/>
  <c r="N39" i="6"/>
  <c r="L39" i="6"/>
  <c r="N38" i="6"/>
  <c r="L38" i="6"/>
  <c r="N37" i="6"/>
  <c r="L37" i="6"/>
  <c r="N36" i="6"/>
  <c r="L36" i="6"/>
  <c r="N35" i="6"/>
  <c r="L35" i="6"/>
  <c r="N34" i="6"/>
  <c r="L34" i="6"/>
  <c r="N33" i="6"/>
  <c r="L33" i="6"/>
  <c r="N32" i="6"/>
  <c r="L32" i="6"/>
  <c r="N31" i="6"/>
  <c r="L31" i="6"/>
  <c r="N30" i="6"/>
  <c r="L30" i="6"/>
  <c r="N29" i="6"/>
  <c r="M66" i="6"/>
  <c r="K66" i="6"/>
  <c r="M65" i="6"/>
  <c r="K65" i="6"/>
  <c r="M64" i="6"/>
  <c r="K64" i="6"/>
  <c r="M63" i="6"/>
  <c r="K63" i="6"/>
  <c r="M62" i="6"/>
  <c r="K62" i="6"/>
  <c r="M61" i="6"/>
  <c r="K61" i="6"/>
  <c r="M60" i="6"/>
  <c r="K60" i="6"/>
  <c r="M59" i="6"/>
  <c r="K59" i="6"/>
  <c r="M58" i="6"/>
  <c r="K58" i="6"/>
  <c r="M57" i="6"/>
  <c r="K57" i="6"/>
  <c r="M56" i="6"/>
  <c r="K56" i="6"/>
  <c r="M55" i="6"/>
  <c r="K55" i="6"/>
  <c r="M54" i="6"/>
  <c r="K54" i="6"/>
  <c r="M53" i="6"/>
  <c r="K53" i="6"/>
  <c r="M52" i="6"/>
  <c r="K52" i="6"/>
  <c r="M51" i="6"/>
  <c r="K51" i="6"/>
  <c r="M50" i="6"/>
  <c r="K50" i="6"/>
  <c r="M49" i="6"/>
  <c r="K49" i="6"/>
  <c r="M48" i="6"/>
  <c r="K48" i="6"/>
  <c r="M47" i="6"/>
  <c r="K47" i="6"/>
  <c r="M46" i="6"/>
  <c r="K46" i="6"/>
  <c r="M45" i="6"/>
  <c r="K45" i="6"/>
  <c r="M44" i="6"/>
  <c r="K44" i="6"/>
  <c r="M43" i="6"/>
  <c r="K43" i="6"/>
  <c r="M42" i="6"/>
  <c r="K42" i="6"/>
  <c r="M41" i="6"/>
  <c r="K41" i="6"/>
  <c r="M40" i="6"/>
  <c r="K40" i="6"/>
  <c r="M39" i="6"/>
  <c r="K39" i="6"/>
  <c r="M38" i="6"/>
  <c r="K38" i="6"/>
  <c r="M37" i="6"/>
  <c r="K37" i="6"/>
  <c r="M36" i="6"/>
  <c r="K36" i="6"/>
  <c r="M35" i="6"/>
  <c r="K35" i="6"/>
  <c r="M34" i="6"/>
  <c r="K34" i="6"/>
  <c r="M33" i="6"/>
  <c r="K33" i="6"/>
  <c r="M32" i="6"/>
  <c r="K32" i="6"/>
  <c r="M31" i="6"/>
  <c r="K31" i="6"/>
  <c r="M30" i="6"/>
  <c r="K30" i="6"/>
  <c r="M29" i="6"/>
  <c r="K29" i="6"/>
  <c r="M28" i="6"/>
  <c r="K28" i="6"/>
  <c r="M27" i="6"/>
  <c r="K27" i="6"/>
  <c r="M26" i="6"/>
  <c r="L29" i="6"/>
  <c r="L28" i="6"/>
  <c r="L27" i="6"/>
  <c r="L26" i="6"/>
  <c r="N25" i="6"/>
  <c r="L25" i="6"/>
  <c r="L24" i="6"/>
  <c r="N22" i="6"/>
  <c r="N28" i="6"/>
  <c r="N27" i="6"/>
  <c r="N26" i="6"/>
  <c r="K26" i="6"/>
  <c r="M25" i="6"/>
  <c r="K25" i="6"/>
  <c r="M24" i="6"/>
  <c r="K24" i="6"/>
  <c r="M23" i="6"/>
  <c r="K23" i="6"/>
  <c r="M22" i="6"/>
  <c r="K22" i="6"/>
  <c r="N24" i="6"/>
  <c r="N23" i="6"/>
  <c r="L23" i="6"/>
  <c r="L22" i="6"/>
  <c r="N21" i="6"/>
  <c r="L21" i="6"/>
  <c r="K21" i="6"/>
  <c r="M21" i="6"/>
  <c r="U23" i="6" l="1"/>
  <c r="H14" i="4"/>
  <c r="H40" i="20"/>
  <c r="U27" i="6"/>
  <c r="H18" i="4"/>
  <c r="H44" i="20"/>
  <c r="U31" i="6"/>
  <c r="H22" i="4"/>
  <c r="H48" i="20"/>
  <c r="U35" i="6"/>
  <c r="H26" i="4"/>
  <c r="H52" i="20"/>
  <c r="U39" i="6"/>
  <c r="H30" i="4"/>
  <c r="H56" i="20"/>
  <c r="H34" i="4"/>
  <c r="U43" i="6"/>
  <c r="H60" i="20"/>
  <c r="T22" i="6"/>
  <c r="G39" i="20"/>
  <c r="G13" i="4"/>
  <c r="T26" i="6"/>
  <c r="G43" i="20"/>
  <c r="G17" i="4"/>
  <c r="T30" i="6"/>
  <c r="G47" i="20"/>
  <c r="G21" i="4"/>
  <c r="T34" i="6"/>
  <c r="G51" i="20"/>
  <c r="G25" i="4"/>
  <c r="T38" i="6"/>
  <c r="G55" i="20"/>
  <c r="G29" i="4"/>
  <c r="G59" i="20"/>
  <c r="T42" i="6"/>
  <c r="G33" i="4"/>
  <c r="V46" i="6"/>
  <c r="I37" i="4"/>
  <c r="I63" i="20"/>
  <c r="V50" i="6"/>
  <c r="I41" i="4"/>
  <c r="I67" i="20"/>
  <c r="V54" i="6"/>
  <c r="I45" i="4"/>
  <c r="I71" i="20"/>
  <c r="V58" i="6"/>
  <c r="I49" i="4"/>
  <c r="I75" i="20"/>
  <c r="V62" i="6"/>
  <c r="I53" i="4"/>
  <c r="I79" i="20"/>
  <c r="V66" i="6"/>
  <c r="I57" i="4"/>
  <c r="I83" i="20"/>
  <c r="V22" i="6"/>
  <c r="I13" i="4"/>
  <c r="I39" i="20"/>
  <c r="V24" i="6"/>
  <c r="I15" i="4"/>
  <c r="I41" i="20"/>
  <c r="V26" i="6"/>
  <c r="I17" i="4"/>
  <c r="I43" i="20"/>
  <c r="V28" i="6"/>
  <c r="I19" i="4"/>
  <c r="I45" i="20"/>
  <c r="V30" i="6"/>
  <c r="I21" i="4"/>
  <c r="I47" i="20"/>
  <c r="V32" i="6"/>
  <c r="I23" i="4"/>
  <c r="I49" i="20"/>
  <c r="V34" i="6"/>
  <c r="I25" i="4"/>
  <c r="I51" i="20"/>
  <c r="V36" i="6"/>
  <c r="I27" i="4"/>
  <c r="I53" i="20"/>
  <c r="V38" i="6"/>
  <c r="I29" i="4"/>
  <c r="I55" i="20"/>
  <c r="V40" i="6"/>
  <c r="I57" i="20"/>
  <c r="I31" i="4"/>
  <c r="V42" i="6"/>
  <c r="I59" i="20"/>
  <c r="I33" i="4"/>
  <c r="V44" i="6"/>
  <c r="I35" i="4"/>
  <c r="I61" i="20"/>
  <c r="F38" i="4"/>
  <c r="S47" i="6"/>
  <c r="F64" i="20"/>
  <c r="F42" i="4"/>
  <c r="S51" i="6"/>
  <c r="F68" i="20"/>
  <c r="F46" i="4"/>
  <c r="S55" i="6"/>
  <c r="F72" i="20"/>
  <c r="V21" i="6"/>
  <c r="N73" i="6"/>
  <c r="N71" i="6"/>
  <c r="N69" i="6"/>
  <c r="I58" i="4" s="1"/>
  <c r="I29" i="20" s="1"/>
  <c r="N67" i="6"/>
  <c r="I59" i="4" s="1"/>
  <c r="I30" i="20" s="1"/>
  <c r="N74" i="6"/>
  <c r="N70" i="6"/>
  <c r="I12" i="4"/>
  <c r="N68" i="6"/>
  <c r="I60" i="4" s="1"/>
  <c r="I31" i="20" s="1"/>
  <c r="I38" i="20"/>
  <c r="N72" i="6"/>
  <c r="U22" i="6"/>
  <c r="H13" i="4"/>
  <c r="H39" i="20"/>
  <c r="V23" i="6"/>
  <c r="I14" i="4"/>
  <c r="I40" i="20"/>
  <c r="U24" i="6"/>
  <c r="H15" i="4"/>
  <c r="H41" i="20"/>
  <c r="V25" i="6"/>
  <c r="I16" i="4"/>
  <c r="I42" i="20"/>
  <c r="U26" i="6"/>
  <c r="H17" i="4"/>
  <c r="H43" i="20"/>
  <c r="V27" i="6"/>
  <c r="I18" i="4"/>
  <c r="I44" i="20"/>
  <c r="U28" i="6"/>
  <c r="H19" i="4"/>
  <c r="H45" i="20"/>
  <c r="V29" i="6"/>
  <c r="I20" i="4"/>
  <c r="I46" i="20"/>
  <c r="U30" i="6"/>
  <c r="H21" i="4"/>
  <c r="H47" i="20"/>
  <c r="V31" i="6"/>
  <c r="I22" i="4"/>
  <c r="I48" i="20"/>
  <c r="U32" i="6"/>
  <c r="H23" i="4"/>
  <c r="H49" i="20"/>
  <c r="V33" i="6"/>
  <c r="I24" i="4"/>
  <c r="I50" i="20"/>
  <c r="U34" i="6"/>
  <c r="H25" i="4"/>
  <c r="H51" i="20"/>
  <c r="V35" i="6"/>
  <c r="I26" i="4"/>
  <c r="I52" i="20"/>
  <c r="U36" i="6"/>
  <c r="H27" i="4"/>
  <c r="H53" i="20"/>
  <c r="V37" i="6"/>
  <c r="I28" i="4"/>
  <c r="I54" i="20"/>
  <c r="U38" i="6"/>
  <c r="H29" i="4"/>
  <c r="H55" i="20"/>
  <c r="V39" i="6"/>
  <c r="I30" i="4"/>
  <c r="I56" i="20"/>
  <c r="U40" i="6"/>
  <c r="H31" i="4"/>
  <c r="H57" i="20"/>
  <c r="V41" i="6"/>
  <c r="I32" i="4"/>
  <c r="I58" i="20"/>
  <c r="U42" i="6"/>
  <c r="H33" i="4"/>
  <c r="H59" i="20"/>
  <c r="V43" i="6"/>
  <c r="I34" i="4"/>
  <c r="I60" i="20"/>
  <c r="U44" i="6"/>
  <c r="H35" i="4"/>
  <c r="H61" i="20"/>
  <c r="V45" i="6"/>
  <c r="I36" i="4"/>
  <c r="I62" i="20"/>
  <c r="U47" i="6"/>
  <c r="H38" i="4"/>
  <c r="H64" i="20"/>
  <c r="U49" i="6"/>
  <c r="H40" i="4"/>
  <c r="H66" i="20"/>
  <c r="U51" i="6"/>
  <c r="H42" i="4"/>
  <c r="H68" i="20"/>
  <c r="U53" i="6"/>
  <c r="H44" i="4"/>
  <c r="H70" i="20"/>
  <c r="U55" i="6"/>
  <c r="H46" i="4"/>
  <c r="H72" i="20"/>
  <c r="F48" i="4"/>
  <c r="S57" i="6"/>
  <c r="F74" i="20"/>
  <c r="F52" i="4"/>
  <c r="S61" i="6"/>
  <c r="F78" i="20"/>
  <c r="F56" i="4"/>
  <c r="S65" i="6"/>
  <c r="F82" i="20"/>
  <c r="U46" i="6"/>
  <c r="H37" i="4"/>
  <c r="H63" i="20"/>
  <c r="V47" i="6"/>
  <c r="I38" i="4"/>
  <c r="I64" i="20"/>
  <c r="U48" i="6"/>
  <c r="H39" i="4"/>
  <c r="H65" i="20"/>
  <c r="V49" i="6"/>
  <c r="I40" i="4"/>
  <c r="I66" i="20"/>
  <c r="U50" i="6"/>
  <c r="H41" i="4"/>
  <c r="H67" i="20"/>
  <c r="V51" i="6"/>
  <c r="I42" i="4"/>
  <c r="I68" i="20"/>
  <c r="U52" i="6"/>
  <c r="H43" i="4"/>
  <c r="H69" i="20"/>
  <c r="V53" i="6"/>
  <c r="I44" i="4"/>
  <c r="I70" i="20"/>
  <c r="U54" i="6"/>
  <c r="H45" i="4"/>
  <c r="H71" i="20"/>
  <c r="V55" i="6"/>
  <c r="I46" i="4"/>
  <c r="I72" i="20"/>
  <c r="U56" i="6"/>
  <c r="H47" i="4"/>
  <c r="H73" i="20"/>
  <c r="T58" i="6"/>
  <c r="G49" i="4"/>
  <c r="G75" i="20"/>
  <c r="T60" i="6"/>
  <c r="G51" i="4"/>
  <c r="G77" i="20"/>
  <c r="T62" i="6"/>
  <c r="G53" i="4"/>
  <c r="G79" i="20"/>
  <c r="T64" i="6"/>
  <c r="G55" i="4"/>
  <c r="G81" i="20"/>
  <c r="T66" i="6"/>
  <c r="G57" i="4"/>
  <c r="G83" i="20"/>
  <c r="V57" i="6"/>
  <c r="I48" i="4"/>
  <c r="I74" i="20"/>
  <c r="U58" i="6"/>
  <c r="H49" i="4"/>
  <c r="H75" i="20"/>
  <c r="V59" i="6"/>
  <c r="I50" i="4"/>
  <c r="I76" i="20"/>
  <c r="U60" i="6"/>
  <c r="H51" i="4"/>
  <c r="H77" i="20"/>
  <c r="V61" i="6"/>
  <c r="I52" i="4"/>
  <c r="I78" i="20"/>
  <c r="U62" i="6"/>
  <c r="H53" i="4"/>
  <c r="H79" i="20"/>
  <c r="V63" i="6"/>
  <c r="I54" i="4"/>
  <c r="I80" i="20"/>
  <c r="U64" i="6"/>
  <c r="H55" i="4"/>
  <c r="H81" i="20"/>
  <c r="V65" i="6"/>
  <c r="I56" i="4"/>
  <c r="I82" i="20"/>
  <c r="U66" i="6"/>
  <c r="H57" i="4"/>
  <c r="H83" i="20"/>
  <c r="E12" i="26"/>
  <c r="R21" i="25"/>
  <c r="G84" i="20"/>
  <c r="Q22" i="25"/>
  <c r="F85" i="20"/>
  <c r="D13" i="26"/>
  <c r="S21" i="25"/>
  <c r="F12" i="26"/>
  <c r="H84" i="20"/>
  <c r="T22" i="25"/>
  <c r="G13" i="26"/>
  <c r="I85" i="20"/>
  <c r="M74" i="6"/>
  <c r="M73" i="6"/>
  <c r="M72" i="6"/>
  <c r="M71" i="6"/>
  <c r="M70" i="6"/>
  <c r="M69" i="6"/>
  <c r="H58" i="4" s="1"/>
  <c r="H29" i="20" s="1"/>
  <c r="M68" i="6"/>
  <c r="H60" i="4" s="1"/>
  <c r="H31" i="20" s="1"/>
  <c r="M67" i="6"/>
  <c r="H59" i="4" s="1"/>
  <c r="H30" i="20" s="1"/>
  <c r="U21" i="6"/>
  <c r="H12" i="4"/>
  <c r="H38" i="20"/>
  <c r="U25" i="6"/>
  <c r="H16" i="4"/>
  <c r="H42" i="20"/>
  <c r="U29" i="6"/>
  <c r="H20" i="4"/>
  <c r="H46" i="20"/>
  <c r="U33" i="6"/>
  <c r="H24" i="4"/>
  <c r="H50" i="20"/>
  <c r="U37" i="6"/>
  <c r="H28" i="4"/>
  <c r="H54" i="20"/>
  <c r="U41" i="6"/>
  <c r="H32" i="4"/>
  <c r="H58" i="20"/>
  <c r="H36" i="4"/>
  <c r="U45" i="6"/>
  <c r="H62" i="20"/>
  <c r="T24" i="6"/>
  <c r="G41" i="20"/>
  <c r="G15" i="4"/>
  <c r="T28" i="6"/>
  <c r="G45" i="20"/>
  <c r="G19" i="4"/>
  <c r="T32" i="6"/>
  <c r="G49" i="20"/>
  <c r="G23" i="4"/>
  <c r="T36" i="6"/>
  <c r="G53" i="20"/>
  <c r="G27" i="4"/>
  <c r="T40" i="6"/>
  <c r="G57" i="20"/>
  <c r="G31" i="4"/>
  <c r="G35" i="4"/>
  <c r="G61" i="20"/>
  <c r="T44" i="6"/>
  <c r="V48" i="6"/>
  <c r="I39" i="4"/>
  <c r="I65" i="20"/>
  <c r="V52" i="6"/>
  <c r="I43" i="4"/>
  <c r="I69" i="20"/>
  <c r="V56" i="6"/>
  <c r="I47" i="4"/>
  <c r="I73" i="20"/>
  <c r="V60" i="6"/>
  <c r="I51" i="4"/>
  <c r="I77" i="20"/>
  <c r="V64" i="6"/>
  <c r="I55" i="4"/>
  <c r="I81" i="20"/>
  <c r="K74" i="6"/>
  <c r="K73" i="6"/>
  <c r="K72" i="6"/>
  <c r="K71" i="6"/>
  <c r="K70" i="6"/>
  <c r="K69" i="6"/>
  <c r="F58" i="4" s="1"/>
  <c r="F29" i="20" s="1"/>
  <c r="K68" i="6"/>
  <c r="F60" i="4" s="1"/>
  <c r="F31" i="20" s="1"/>
  <c r="K67" i="6"/>
  <c r="F59" i="4" s="1"/>
  <c r="F30" i="20" s="1"/>
  <c r="S21" i="6"/>
  <c r="F12" i="4"/>
  <c r="F38" i="20"/>
  <c r="S23" i="6"/>
  <c r="F14" i="4"/>
  <c r="F40" i="20"/>
  <c r="S25" i="6"/>
  <c r="F16" i="4"/>
  <c r="F42" i="20"/>
  <c r="S27" i="6"/>
  <c r="F18" i="4"/>
  <c r="F44" i="20"/>
  <c r="S29" i="6"/>
  <c r="F20" i="4"/>
  <c r="F46" i="20"/>
  <c r="S31" i="6"/>
  <c r="F22" i="4"/>
  <c r="F48" i="20"/>
  <c r="S33" i="6"/>
  <c r="F24" i="4"/>
  <c r="F50" i="20"/>
  <c r="S35" i="6"/>
  <c r="F26" i="4"/>
  <c r="F52" i="20"/>
  <c r="S37" i="6"/>
  <c r="F28" i="4"/>
  <c r="F54" i="20"/>
  <c r="S39" i="6"/>
  <c r="F30" i="4"/>
  <c r="F56" i="20"/>
  <c r="S41" i="6"/>
  <c r="F32" i="4"/>
  <c r="F58" i="20"/>
  <c r="S43" i="6"/>
  <c r="F34" i="4"/>
  <c r="F60" i="20"/>
  <c r="S45" i="6"/>
  <c r="F36" i="4"/>
  <c r="F62" i="20"/>
  <c r="F40" i="4"/>
  <c r="S49" i="6"/>
  <c r="F66" i="20"/>
  <c r="F44" i="4"/>
  <c r="S53" i="6"/>
  <c r="F70" i="20"/>
  <c r="L74" i="6"/>
  <c r="L73" i="6"/>
  <c r="L72" i="6"/>
  <c r="L71" i="6"/>
  <c r="L70" i="6"/>
  <c r="L69" i="6"/>
  <c r="G58" i="4" s="1"/>
  <c r="G29" i="20" s="1"/>
  <c r="L68" i="6"/>
  <c r="G60" i="4" s="1"/>
  <c r="G31" i="20" s="1"/>
  <c r="L67" i="6"/>
  <c r="G59" i="4" s="1"/>
  <c r="G30" i="20" s="1"/>
  <c r="T21" i="6"/>
  <c r="G12" i="4"/>
  <c r="G38" i="20"/>
  <c r="S22" i="6"/>
  <c r="F13" i="4"/>
  <c r="F39" i="20"/>
  <c r="T23" i="6"/>
  <c r="G14" i="4"/>
  <c r="G40" i="20"/>
  <c r="S24" i="6"/>
  <c r="F15" i="4"/>
  <c r="F41" i="20"/>
  <c r="T25" i="6"/>
  <c r="G16" i="4"/>
  <c r="G42" i="20"/>
  <c r="S26" i="6"/>
  <c r="F17" i="4"/>
  <c r="F43" i="20"/>
  <c r="T27" i="6"/>
  <c r="G18" i="4"/>
  <c r="G44" i="20"/>
  <c r="S28" i="6"/>
  <c r="F19" i="4"/>
  <c r="F45" i="20"/>
  <c r="T29" i="6"/>
  <c r="G20" i="4"/>
  <c r="G46" i="20"/>
  <c r="S30" i="6"/>
  <c r="F21" i="4"/>
  <c r="F47" i="20"/>
  <c r="T31" i="6"/>
  <c r="G22" i="4"/>
  <c r="G48" i="20"/>
  <c r="S32" i="6"/>
  <c r="F23" i="4"/>
  <c r="F49" i="20"/>
  <c r="T33" i="6"/>
  <c r="G24" i="4"/>
  <c r="G50" i="20"/>
  <c r="S34" i="6"/>
  <c r="F25" i="4"/>
  <c r="F51" i="20"/>
  <c r="T35" i="6"/>
  <c r="G26" i="4"/>
  <c r="G52" i="20"/>
  <c r="S36" i="6"/>
  <c r="F27" i="4"/>
  <c r="F53" i="20"/>
  <c r="T37" i="6"/>
  <c r="G28" i="4"/>
  <c r="G54" i="20"/>
  <c r="S38" i="6"/>
  <c r="F29" i="4"/>
  <c r="F55" i="20"/>
  <c r="T39" i="6"/>
  <c r="G30" i="4"/>
  <c r="G56" i="20"/>
  <c r="S40" i="6"/>
  <c r="F31" i="4"/>
  <c r="F57" i="20"/>
  <c r="T41" i="6"/>
  <c r="G32" i="4"/>
  <c r="G58" i="20"/>
  <c r="S42" i="6"/>
  <c r="F33" i="4"/>
  <c r="F59" i="20"/>
  <c r="T43" i="6"/>
  <c r="G60" i="20"/>
  <c r="G34" i="4"/>
  <c r="S44" i="6"/>
  <c r="F35" i="4"/>
  <c r="F61" i="20"/>
  <c r="T45" i="6"/>
  <c r="G62" i="20"/>
  <c r="G36" i="4"/>
  <c r="T46" i="6"/>
  <c r="G37" i="4"/>
  <c r="G63" i="20"/>
  <c r="T48" i="6"/>
  <c r="G39" i="4"/>
  <c r="G65" i="20"/>
  <c r="T50" i="6"/>
  <c r="G41" i="4"/>
  <c r="G67" i="20"/>
  <c r="T52" i="6"/>
  <c r="G43" i="4"/>
  <c r="G69" i="20"/>
  <c r="T54" i="6"/>
  <c r="G45" i="4"/>
  <c r="G71" i="20"/>
  <c r="T56" i="6"/>
  <c r="G47" i="4"/>
  <c r="G73" i="20"/>
  <c r="F50" i="4"/>
  <c r="S59" i="6"/>
  <c r="F76" i="20"/>
  <c r="F54" i="4"/>
  <c r="S63" i="6"/>
  <c r="F80" i="20"/>
  <c r="S46" i="6"/>
  <c r="F37" i="4"/>
  <c r="F63" i="20"/>
  <c r="T47" i="6"/>
  <c r="G64" i="20"/>
  <c r="G38" i="4"/>
  <c r="S48" i="6"/>
  <c r="F39" i="4"/>
  <c r="F65" i="20"/>
  <c r="T49" i="6"/>
  <c r="G66" i="20"/>
  <c r="G40" i="4"/>
  <c r="S50" i="6"/>
  <c r="F41" i="4"/>
  <c r="F67" i="20"/>
  <c r="T51" i="6"/>
  <c r="G68" i="20"/>
  <c r="G42" i="4"/>
  <c r="S52" i="6"/>
  <c r="F43" i="4"/>
  <c r="F69" i="20"/>
  <c r="T53" i="6"/>
  <c r="G70" i="20"/>
  <c r="G44" i="4"/>
  <c r="S54" i="6"/>
  <c r="F45" i="4"/>
  <c r="F71" i="20"/>
  <c r="T55" i="6"/>
  <c r="G72" i="20"/>
  <c r="G46" i="4"/>
  <c r="S56" i="6"/>
  <c r="F47" i="4"/>
  <c r="F73" i="20"/>
  <c r="U57" i="6"/>
  <c r="H48" i="4"/>
  <c r="H74" i="20"/>
  <c r="U59" i="6"/>
  <c r="H50" i="4"/>
  <c r="H76" i="20"/>
  <c r="U61" i="6"/>
  <c r="H52" i="4"/>
  <c r="H78" i="20"/>
  <c r="U63" i="6"/>
  <c r="H54" i="4"/>
  <c r="H80" i="20"/>
  <c r="U65" i="6"/>
  <c r="H56" i="4"/>
  <c r="H82" i="20"/>
  <c r="T57" i="6"/>
  <c r="G74" i="20"/>
  <c r="G48" i="4"/>
  <c r="S58" i="6"/>
  <c r="F49" i="4"/>
  <c r="F75" i="20"/>
  <c r="T59" i="6"/>
  <c r="G76" i="20"/>
  <c r="G50" i="4"/>
  <c r="S60" i="6"/>
  <c r="F51" i="4"/>
  <c r="F77" i="20"/>
  <c r="T61" i="6"/>
  <c r="G78" i="20"/>
  <c r="G52" i="4"/>
  <c r="S62" i="6"/>
  <c r="F53" i="4"/>
  <c r="F79" i="20"/>
  <c r="T63" i="6"/>
  <c r="G80" i="20"/>
  <c r="G54" i="4"/>
  <c r="S64" i="6"/>
  <c r="F55" i="4"/>
  <c r="F81" i="20"/>
  <c r="T65" i="6"/>
  <c r="G82" i="20"/>
  <c r="G56" i="4"/>
  <c r="S66" i="6"/>
  <c r="F57" i="4"/>
  <c r="F83" i="20"/>
  <c r="S22" i="25"/>
  <c r="F13" i="26"/>
  <c r="H85" i="20"/>
  <c r="T21" i="25"/>
  <c r="G12" i="26"/>
  <c r="I84" i="20"/>
  <c r="Q21" i="25"/>
  <c r="D12" i="26"/>
  <c r="F84" i="20"/>
  <c r="R22" i="25"/>
  <c r="E13" i="26"/>
  <c r="G85" i="20"/>
  <c r="H12" i="26" l="1"/>
  <c r="F136" i="20"/>
  <c r="J13" i="26"/>
  <c r="H137" i="20"/>
  <c r="K56" i="4"/>
  <c r="G134" i="20"/>
  <c r="G132" i="20"/>
  <c r="K54" i="4"/>
  <c r="G130" i="20"/>
  <c r="K52" i="4"/>
  <c r="G128" i="20"/>
  <c r="K50" i="4"/>
  <c r="G126" i="20"/>
  <c r="K48" i="4"/>
  <c r="L54" i="4"/>
  <c r="H132" i="20"/>
  <c r="L50" i="4"/>
  <c r="H128" i="20"/>
  <c r="J47" i="4"/>
  <c r="F125" i="20"/>
  <c r="J45" i="4"/>
  <c r="F123" i="20"/>
  <c r="J43" i="4"/>
  <c r="F121" i="20"/>
  <c r="J41" i="4"/>
  <c r="F119" i="20"/>
  <c r="J39" i="4"/>
  <c r="F117" i="20"/>
  <c r="J37" i="4"/>
  <c r="F115" i="20"/>
  <c r="J54" i="4"/>
  <c r="F132" i="20"/>
  <c r="K45" i="4"/>
  <c r="G123" i="20"/>
  <c r="K41" i="4"/>
  <c r="G119" i="20"/>
  <c r="K37" i="4"/>
  <c r="G115" i="20"/>
  <c r="J35" i="4"/>
  <c r="F113" i="20"/>
  <c r="J33" i="4"/>
  <c r="F111" i="20"/>
  <c r="J31" i="4"/>
  <c r="F109" i="20"/>
  <c r="J29" i="4"/>
  <c r="F107" i="20"/>
  <c r="J27" i="4"/>
  <c r="F105" i="20"/>
  <c r="J25" i="4"/>
  <c r="F103" i="20"/>
  <c r="J23" i="4"/>
  <c r="F101" i="20"/>
  <c r="J21" i="4"/>
  <c r="F99" i="20"/>
  <c r="J19" i="4"/>
  <c r="F97" i="20"/>
  <c r="J17" i="4"/>
  <c r="F95" i="20"/>
  <c r="J15" i="4"/>
  <c r="F93" i="20"/>
  <c r="J13" i="4"/>
  <c r="F91" i="20"/>
  <c r="J40" i="4"/>
  <c r="F118" i="20"/>
  <c r="J36" i="4"/>
  <c r="F114" i="20"/>
  <c r="J32" i="4"/>
  <c r="F110" i="20"/>
  <c r="J28" i="4"/>
  <c r="F106" i="20"/>
  <c r="J24" i="4"/>
  <c r="F102" i="20"/>
  <c r="J20" i="4"/>
  <c r="F98" i="20"/>
  <c r="J16" i="4"/>
  <c r="F94" i="20"/>
  <c r="S74" i="6"/>
  <c r="S73" i="6"/>
  <c r="S72" i="6"/>
  <c r="S71" i="6"/>
  <c r="S70" i="6"/>
  <c r="S69" i="6"/>
  <c r="J58" i="4" s="1"/>
  <c r="J29" i="20" s="1"/>
  <c r="S68" i="6"/>
  <c r="J60" i="4" s="1"/>
  <c r="J31" i="20" s="1"/>
  <c r="S67" i="6"/>
  <c r="J59" i="4" s="1"/>
  <c r="J30" i="20" s="1"/>
  <c r="J12" i="4"/>
  <c r="F90" i="20"/>
  <c r="M51" i="4"/>
  <c r="I129" i="20"/>
  <c r="M43" i="4"/>
  <c r="I121" i="20"/>
  <c r="K35" i="4"/>
  <c r="G113" i="20"/>
  <c r="G105" i="20"/>
  <c r="K27" i="4"/>
  <c r="G97" i="20"/>
  <c r="K19" i="4"/>
  <c r="L28" i="4"/>
  <c r="H106" i="20"/>
  <c r="L20" i="4"/>
  <c r="H98" i="20"/>
  <c r="U74" i="6"/>
  <c r="U73" i="6"/>
  <c r="U72" i="6"/>
  <c r="U71" i="6"/>
  <c r="U70" i="6"/>
  <c r="U69" i="6"/>
  <c r="L58" i="4" s="1"/>
  <c r="L29" i="20" s="1"/>
  <c r="U68" i="6"/>
  <c r="L60" i="4" s="1"/>
  <c r="L31" i="20" s="1"/>
  <c r="U67" i="6"/>
  <c r="L59" i="4" s="1"/>
  <c r="L30" i="20" s="1"/>
  <c r="L12" i="4"/>
  <c r="H90" i="20"/>
  <c r="J12" i="26"/>
  <c r="H136" i="20"/>
  <c r="M56" i="4"/>
  <c r="I134" i="20"/>
  <c r="M54" i="4"/>
  <c r="I132" i="20"/>
  <c r="M52" i="4"/>
  <c r="I130" i="20"/>
  <c r="M50" i="4"/>
  <c r="I128" i="20"/>
  <c r="M48" i="4"/>
  <c r="I126" i="20"/>
  <c r="K55" i="4"/>
  <c r="G133" i="20"/>
  <c r="K51" i="4"/>
  <c r="G129" i="20"/>
  <c r="L47" i="4"/>
  <c r="H125" i="20"/>
  <c r="L45" i="4"/>
  <c r="H123" i="20"/>
  <c r="L43" i="4"/>
  <c r="H121" i="20"/>
  <c r="L41" i="4"/>
  <c r="H119" i="20"/>
  <c r="L39" i="4"/>
  <c r="H117" i="20"/>
  <c r="L37" i="4"/>
  <c r="H115" i="20"/>
  <c r="J56" i="4"/>
  <c r="F134" i="20"/>
  <c r="J48" i="4"/>
  <c r="F126" i="20"/>
  <c r="L46" i="4"/>
  <c r="H124" i="20"/>
  <c r="L42" i="4"/>
  <c r="H120" i="20"/>
  <c r="L38" i="4"/>
  <c r="H116" i="20"/>
  <c r="L35" i="4"/>
  <c r="H113" i="20"/>
  <c r="L33" i="4"/>
  <c r="H111" i="20"/>
  <c r="L31" i="4"/>
  <c r="H109" i="20"/>
  <c r="L29" i="4"/>
  <c r="H107" i="20"/>
  <c r="L27" i="4"/>
  <c r="H105" i="20"/>
  <c r="L25" i="4"/>
  <c r="H103" i="20"/>
  <c r="L23" i="4"/>
  <c r="H101" i="20"/>
  <c r="L21" i="4"/>
  <c r="H99" i="20"/>
  <c r="L19" i="4"/>
  <c r="H97" i="20"/>
  <c r="L17" i="4"/>
  <c r="H95" i="20"/>
  <c r="L15" i="4"/>
  <c r="H93" i="20"/>
  <c r="L13" i="4"/>
  <c r="H91" i="20"/>
  <c r="J42" i="4"/>
  <c r="F120" i="20"/>
  <c r="M33" i="4"/>
  <c r="I111" i="20"/>
  <c r="I107" i="20"/>
  <c r="M29" i="4"/>
  <c r="I103" i="20"/>
  <c r="M25" i="4"/>
  <c r="I99" i="20"/>
  <c r="M21" i="4"/>
  <c r="I95" i="20"/>
  <c r="M17" i="4"/>
  <c r="I91" i="20"/>
  <c r="M13" i="4"/>
  <c r="M53" i="4"/>
  <c r="I131" i="20"/>
  <c r="M45" i="4"/>
  <c r="I123" i="20"/>
  <c r="M37" i="4"/>
  <c r="I115" i="20"/>
  <c r="K33" i="4"/>
  <c r="G111" i="20"/>
  <c r="G107" i="20"/>
  <c r="K29" i="4"/>
  <c r="G99" i="20"/>
  <c r="K21" i="4"/>
  <c r="G91" i="20"/>
  <c r="K13" i="4"/>
  <c r="L34" i="4"/>
  <c r="H112" i="20"/>
  <c r="L30" i="4"/>
  <c r="H108" i="20"/>
  <c r="L22" i="4"/>
  <c r="H100" i="20"/>
  <c r="L14" i="4"/>
  <c r="H92" i="20"/>
  <c r="I13" i="26"/>
  <c r="G137" i="20"/>
  <c r="I136" i="20"/>
  <c r="K12" i="26"/>
  <c r="J57" i="4"/>
  <c r="F135" i="20"/>
  <c r="J55" i="4"/>
  <c r="F133" i="20"/>
  <c r="J53" i="4"/>
  <c r="F131" i="20"/>
  <c r="J51" i="4"/>
  <c r="F129" i="20"/>
  <c r="J49" i="4"/>
  <c r="F127" i="20"/>
  <c r="L56" i="4"/>
  <c r="H134" i="20"/>
  <c r="L52" i="4"/>
  <c r="H130" i="20"/>
  <c r="L48" i="4"/>
  <c r="H126" i="20"/>
  <c r="G124" i="20"/>
  <c r="K46" i="4"/>
  <c r="G122" i="20"/>
  <c r="K44" i="4"/>
  <c r="G120" i="20"/>
  <c r="K42" i="4"/>
  <c r="G118" i="20"/>
  <c r="K40" i="4"/>
  <c r="G116" i="20"/>
  <c r="K38" i="4"/>
  <c r="J50" i="4"/>
  <c r="F128" i="20"/>
  <c r="K47" i="4"/>
  <c r="G125" i="20"/>
  <c r="K43" i="4"/>
  <c r="G121" i="20"/>
  <c r="K39" i="4"/>
  <c r="G117" i="20"/>
  <c r="G114" i="20"/>
  <c r="K36" i="4"/>
  <c r="G112" i="20"/>
  <c r="K34" i="4"/>
  <c r="K32" i="4"/>
  <c r="G110" i="20"/>
  <c r="K30" i="4"/>
  <c r="G108" i="20"/>
  <c r="K28" i="4"/>
  <c r="G106" i="20"/>
  <c r="K26" i="4"/>
  <c r="G104" i="20"/>
  <c r="K24" i="4"/>
  <c r="G102" i="20"/>
  <c r="K22" i="4"/>
  <c r="G100" i="20"/>
  <c r="K20" i="4"/>
  <c r="G98" i="20"/>
  <c r="K18" i="4"/>
  <c r="G96" i="20"/>
  <c r="K16" i="4"/>
  <c r="G94" i="20"/>
  <c r="K14" i="4"/>
  <c r="G92" i="20"/>
  <c r="T74" i="6"/>
  <c r="T73" i="6"/>
  <c r="T72" i="6"/>
  <c r="T71" i="6"/>
  <c r="T70" i="6"/>
  <c r="T69" i="6"/>
  <c r="K58" i="4" s="1"/>
  <c r="K29" i="20" s="1"/>
  <c r="T68" i="6"/>
  <c r="K60" i="4" s="1"/>
  <c r="K31" i="20" s="1"/>
  <c r="T67" i="6"/>
  <c r="K59" i="4" s="1"/>
  <c r="K30" i="20" s="1"/>
  <c r="K12" i="4"/>
  <c r="G90" i="20"/>
  <c r="J44" i="4"/>
  <c r="F122" i="20"/>
  <c r="J34" i="4"/>
  <c r="F112" i="20"/>
  <c r="J30" i="4"/>
  <c r="F108" i="20"/>
  <c r="J26" i="4"/>
  <c r="F104" i="20"/>
  <c r="J22" i="4"/>
  <c r="F100" i="20"/>
  <c r="J18" i="4"/>
  <c r="F96" i="20"/>
  <c r="J14" i="4"/>
  <c r="F92" i="20"/>
  <c r="M55" i="4"/>
  <c r="I133" i="20"/>
  <c r="M47" i="4"/>
  <c r="I125" i="20"/>
  <c r="M39" i="4"/>
  <c r="I117" i="20"/>
  <c r="G109" i="20"/>
  <c r="K31" i="4"/>
  <c r="G101" i="20"/>
  <c r="K23" i="4"/>
  <c r="G93" i="20"/>
  <c r="K15" i="4"/>
  <c r="L36" i="4"/>
  <c r="H114" i="20"/>
  <c r="L32" i="4"/>
  <c r="H110" i="20"/>
  <c r="L24" i="4"/>
  <c r="H102" i="20"/>
  <c r="L16" i="4"/>
  <c r="H94" i="20"/>
  <c r="K13" i="26"/>
  <c r="I137" i="20"/>
  <c r="H13" i="26"/>
  <c r="F137" i="20"/>
  <c r="I12" i="26"/>
  <c r="G136" i="20"/>
  <c r="L57" i="4"/>
  <c r="H135" i="20"/>
  <c r="L55" i="4"/>
  <c r="H133" i="20"/>
  <c r="L53" i="4"/>
  <c r="H131" i="20"/>
  <c r="L51" i="4"/>
  <c r="H129" i="20"/>
  <c r="L49" i="4"/>
  <c r="H127" i="20"/>
  <c r="K57" i="4"/>
  <c r="G135" i="20"/>
  <c r="K53" i="4"/>
  <c r="G131" i="20"/>
  <c r="K49" i="4"/>
  <c r="G127" i="20"/>
  <c r="M46" i="4"/>
  <c r="I124" i="20"/>
  <c r="M44" i="4"/>
  <c r="I122" i="20"/>
  <c r="M42" i="4"/>
  <c r="I120" i="20"/>
  <c r="M40" i="4"/>
  <c r="I118" i="20"/>
  <c r="M38" i="4"/>
  <c r="I116" i="20"/>
  <c r="J52" i="4"/>
  <c r="F130" i="20"/>
  <c r="L44" i="4"/>
  <c r="H122" i="20"/>
  <c r="L40" i="4"/>
  <c r="H118" i="20"/>
  <c r="M36" i="4"/>
  <c r="I114" i="20"/>
  <c r="M34" i="4"/>
  <c r="I112" i="20"/>
  <c r="M32" i="4"/>
  <c r="I110" i="20"/>
  <c r="M30" i="4"/>
  <c r="I108" i="20"/>
  <c r="M28" i="4"/>
  <c r="I106" i="20"/>
  <c r="M26" i="4"/>
  <c r="I104" i="20"/>
  <c r="M24" i="4"/>
  <c r="I102" i="20"/>
  <c r="M22" i="4"/>
  <c r="I100" i="20"/>
  <c r="M20" i="4"/>
  <c r="I98" i="20"/>
  <c r="M18" i="4"/>
  <c r="I96" i="20"/>
  <c r="M16" i="4"/>
  <c r="I94" i="20"/>
  <c r="M14" i="4"/>
  <c r="I92" i="20"/>
  <c r="V74" i="6"/>
  <c r="V73" i="6"/>
  <c r="V72" i="6"/>
  <c r="V71" i="6"/>
  <c r="V70" i="6"/>
  <c r="V69" i="6"/>
  <c r="M58" i="4" s="1"/>
  <c r="M29" i="20" s="1"/>
  <c r="V68" i="6"/>
  <c r="M60" i="4" s="1"/>
  <c r="M31" i="20" s="1"/>
  <c r="V67" i="6"/>
  <c r="M59" i="4" s="1"/>
  <c r="M30" i="20" s="1"/>
  <c r="M12" i="4"/>
  <c r="I90" i="20"/>
  <c r="J46" i="4"/>
  <c r="F124" i="20"/>
  <c r="J38" i="4"/>
  <c r="F116" i="20"/>
  <c r="M35" i="4"/>
  <c r="I113" i="20"/>
  <c r="I109" i="20"/>
  <c r="M31" i="4"/>
  <c r="I105" i="20"/>
  <c r="M27" i="4"/>
  <c r="I101" i="20"/>
  <c r="M23" i="4"/>
  <c r="I97" i="20"/>
  <c r="M19" i="4"/>
  <c r="I93" i="20"/>
  <c r="M15" i="4"/>
  <c r="I135" i="20"/>
  <c r="M57" i="4"/>
  <c r="M49" i="4"/>
  <c r="I127" i="20"/>
  <c r="M41" i="4"/>
  <c r="I119" i="20"/>
  <c r="G103" i="20"/>
  <c r="K25" i="4"/>
  <c r="G95" i="20"/>
  <c r="K17" i="4"/>
  <c r="L26" i="4"/>
  <c r="H104" i="20"/>
  <c r="L18" i="4"/>
  <c r="H96" i="20"/>
</calcChain>
</file>

<file path=xl/comments1.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sharedStrings.xml><?xml version="1.0" encoding="utf-8"?>
<sst xmlns="http://schemas.openxmlformats.org/spreadsheetml/2006/main" count="704" uniqueCount="251">
  <si>
    <t>Active Substance Parameters</t>
  </si>
  <si>
    <t>Compound Name</t>
  </si>
  <si>
    <t>-</t>
  </si>
  <si>
    <t>Aquatic</t>
  </si>
  <si>
    <t>Sediment</t>
  </si>
  <si>
    <t xml:space="preserve">Available at: http://echa.europa.eu/en/guidance-documents/guidance-on-biocides-legislation/emission-scenario-documents </t>
  </si>
  <si>
    <t>Version history</t>
  </si>
  <si>
    <t>ESD for PT 21: Emission scenarios for antifouling products in OECD countries (European Commission, DG Environment, 2004)</t>
  </si>
  <si>
    <t>INDEX</t>
  </si>
  <si>
    <t>Environmental Emission Scenarios for Product Type 21: Biocides used as [name]</t>
  </si>
  <si>
    <t>Scenario</t>
  </si>
  <si>
    <t>Sceanrio Country | Code</t>
  </si>
  <si>
    <t>Substance</t>
  </si>
  <si>
    <t>DE</t>
  </si>
  <si>
    <t>NL</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</si>
  <si>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</si>
  <si>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</si>
  <si>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</si>
  <si>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</si>
  <si>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</si>
  <si>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</si>
  <si>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</si>
  <si>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</si>
  <si>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</si>
  <si>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</si>
  <si>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</si>
  <si>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</si>
  <si>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</si>
  <si>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</si>
  <si>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</si>
  <si>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</si>
  <si>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</si>
  <si>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</si>
  <si>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t>ƿ</t>
  </si>
  <si>
    <t>DFT</t>
  </si>
  <si>
    <t>VS</t>
  </si>
  <si>
    <t>t</t>
  </si>
  <si>
    <t>Output</t>
  </si>
  <si>
    <r>
      <t>M</t>
    </r>
    <r>
      <rPr>
        <i/>
        <vertAlign val="subscript"/>
        <sz val="10"/>
        <color theme="1"/>
        <rFont val="Verdana"/>
        <family val="2"/>
      </rPr>
      <t>rel</t>
    </r>
  </si>
  <si>
    <t xml:space="preserve">_
R
</t>
  </si>
  <si>
    <t>Dry film thickness specified for the lifetime of the paint</t>
  </si>
  <si>
    <t>Lifetime of the antifouling paint</t>
  </si>
  <si>
    <t>Months</t>
  </si>
  <si>
    <t>% by volume</t>
  </si>
  <si>
    <t>Estimated total mass of biocde released per unit area of paint film over the lifetime of the paint</t>
  </si>
  <si>
    <t>Average biocide release rate over the lifetime of the paint</t>
  </si>
  <si>
    <t>%</t>
  </si>
  <si>
    <t>O</t>
  </si>
  <si>
    <t>D/S</t>
  </si>
  <si>
    <t>S</t>
  </si>
  <si>
    <t>Calculation of leaching rate conversion</t>
  </si>
  <si>
    <t>Conversion Factor</t>
  </si>
  <si>
    <t>Measured Leaching Rate</t>
  </si>
  <si>
    <t>Leaching Rate: Product Specific</t>
  </si>
  <si>
    <t>0= Measured Value| 1= Calculated Value</t>
  </si>
  <si>
    <t>Measured Value</t>
  </si>
  <si>
    <t>Calculated Value</t>
  </si>
  <si>
    <t>Background Concentration</t>
  </si>
  <si>
    <t>Surface Water</t>
  </si>
  <si>
    <t>PNEC Values</t>
  </si>
  <si>
    <t>User Input Values</t>
  </si>
  <si>
    <t xml:space="preserve">PEC:PNEC SW inside marina 
</t>
  </si>
  <si>
    <t xml:space="preserve">PEC:PNEC Sed inside marina 
</t>
  </si>
  <si>
    <t xml:space="preserve">PEC:PNEC SW surrounding marina 
</t>
  </si>
  <si>
    <t xml:space="preserve">PEC:PNEC Sed surrounding marina 
</t>
  </si>
  <si>
    <t>Atlantic Scenario Average PEC  values and Risk Characterisation</t>
  </si>
  <si>
    <t>Average biocide release over the lifetime of the paint</t>
  </si>
  <si>
    <t>Leave Blank if no measured Value</t>
  </si>
  <si>
    <t>Application Factor</t>
  </si>
  <si>
    <t>Calculation of Application conversion</t>
  </si>
  <si>
    <t>Leaching Rate considered within default MAMPEC calculations</t>
  </si>
  <si>
    <t>User Selected Value</t>
  </si>
  <si>
    <t>Inside Marina</t>
  </si>
  <si>
    <t>Surrounding Marina</t>
  </si>
  <si>
    <t xml:space="preserve">PECsw inside marina 
(average, dissolved, ug/l)
</t>
  </si>
  <si>
    <t xml:space="preserve">PECsw surrounding marina
(average, disolved, ug/l)
</t>
  </si>
  <si>
    <t>Application factor considered within default MAMPEC calculations</t>
  </si>
  <si>
    <t>Boat Number</t>
  </si>
  <si>
    <t>Draft 1.0</t>
  </si>
  <si>
    <t>Draft 2.0</t>
  </si>
  <si>
    <t>Summary of  Risk Characterisation Calculations</t>
  </si>
  <si>
    <t>Active Substance</t>
  </si>
  <si>
    <t>PEC Tool Version</t>
  </si>
  <si>
    <t>PEC Values</t>
  </si>
  <si>
    <t>PEC/PNEC Ratios</t>
  </si>
  <si>
    <t>Atlantic Scenario| Risk Characterisation</t>
  </si>
  <si>
    <t>90th Percentile Value</t>
  </si>
  <si>
    <t>90th Percentile</t>
  </si>
  <si>
    <t>Output: Summary</t>
  </si>
  <si>
    <t>Output: Full</t>
  </si>
  <si>
    <t xml:space="preserve">PNEC Values </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</si>
  <si>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</si>
  <si>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</si>
  <si>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</si>
  <si>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</si>
  <si>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</si>
  <si>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</si>
  <si>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</si>
  <si>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</si>
  <si>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</si>
  <si>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</si>
  <si>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</si>
  <si>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</si>
  <si>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</si>
  <si>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This workbook provides a calculation tool for estimating the environmental releases from the use of biocides used as antifouling products. It consists of number of spreadsheets, covering the emission scenarios described in the Emission Scenario Document (below). 
This is not a standalone document. It is a calculation tool and it should be used in combination with the ESD, which contains the background information that needs to be taken into account in order to correctly use this spreadsheet.</t>
  </si>
  <si>
    <t>Environmental Emission Scenarios for Product Type 21: Biocides used as antifouling products</t>
  </si>
  <si>
    <t>OECD Marina Scenario Average PEC  values and Risk Characterisation</t>
  </si>
  <si>
    <t>OECD Marina Scenario| Risk Characterisation</t>
  </si>
  <si>
    <t>Freshwater marina 1</t>
  </si>
  <si>
    <t>AT</t>
  </si>
  <si>
    <t>Freshwater marina 2</t>
  </si>
  <si>
    <t>Freshwater marina 3</t>
  </si>
  <si>
    <t>Freshwater marina 4</t>
  </si>
  <si>
    <t>Freshwater marina 5</t>
  </si>
  <si>
    <t>Freshwater marina 6</t>
  </si>
  <si>
    <t>Freshwater marina 7</t>
  </si>
  <si>
    <t>Freshwater marina 9</t>
  </si>
  <si>
    <t>CH</t>
  </si>
  <si>
    <t>Freshwater marina 10</t>
  </si>
  <si>
    <t>Freshwater marina 12</t>
  </si>
  <si>
    <t>Freshwater marina 13</t>
  </si>
  <si>
    <t>Freshwater marina 18</t>
  </si>
  <si>
    <t>Freshwater marina 19</t>
  </si>
  <si>
    <t>Freshwater marina 20</t>
  </si>
  <si>
    <t>21-1</t>
  </si>
  <si>
    <t>Freshwater marina 21</t>
  </si>
  <si>
    <t>22-1</t>
  </si>
  <si>
    <t>Freshwater marina 22</t>
  </si>
  <si>
    <t>43-1</t>
  </si>
  <si>
    <t>Freshwater marina 23</t>
  </si>
  <si>
    <t>49-1</t>
  </si>
  <si>
    <t>Freshwater marina 24</t>
  </si>
  <si>
    <t>19-1</t>
  </si>
  <si>
    <t>Freshwater marina 25</t>
  </si>
  <si>
    <t>45-1</t>
  </si>
  <si>
    <t>Freshwater marina 26</t>
  </si>
  <si>
    <t>33-1</t>
  </si>
  <si>
    <t>Freshwater marina 27</t>
  </si>
  <si>
    <t>46-1</t>
  </si>
  <si>
    <t>Freshwater marina 28</t>
  </si>
  <si>
    <t>50-1</t>
  </si>
  <si>
    <t>Freshwater marina 29</t>
  </si>
  <si>
    <t>38-1</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</si>
  <si>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</si>
  <si>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</si>
  <si>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</si>
  <si>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</si>
  <si>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</si>
  <si>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</si>
  <si>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</si>
  <si>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</si>
  <si>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</si>
  <si>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</si>
  <si>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</si>
  <si>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</si>
  <si>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</si>
  <si>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</si>
  <si>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</si>
  <si>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</si>
  <si>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</si>
  <si>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</si>
  <si>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</si>
  <si>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UK</t>
  </si>
  <si>
    <t>Freshwater marina 50</t>
  </si>
  <si>
    <t>Freshwater marina 51</t>
  </si>
  <si>
    <t>Freshwater marina 52</t>
  </si>
  <si>
    <t>Freshwater marina 53</t>
  </si>
  <si>
    <t>Freshwater</t>
  </si>
  <si>
    <r>
      <t>µg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</si>
  <si>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µm</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</si>
  <si>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</si>
  <si>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µg/l</t>
  </si>
  <si>
    <t>µg/g dw</t>
  </si>
  <si>
    <r>
      <t>µg cm</t>
    </r>
    <r>
      <rPr>
        <vertAlign val="superscript"/>
        <sz val="10"/>
        <color theme="1"/>
        <rFont val="Verdana"/>
        <family val="2"/>
      </rPr>
      <t>-2</t>
    </r>
  </si>
  <si>
    <t>OECD Swiss marina-adapted</t>
  </si>
  <si>
    <t>NL national marina</t>
  </si>
  <si>
    <t>Surface Water (µg/l)</t>
  </si>
  <si>
    <t>Sediment
(µg/g dw)</t>
  </si>
  <si>
    <t xml:space="preserve">PECsw inside marina 
(average, dissolved, µg/l)
</t>
  </si>
  <si>
    <t xml:space="preserve">PECsw surrounding marina
(average, disolved, µg/l)
</t>
  </si>
  <si>
    <t xml:space="preserve">PNECsed Surrounding Marina
(µg/g dw)
</t>
  </si>
  <si>
    <t xml:space="preserve">PNECsw Surrounding Marina 
(µg/l)
</t>
  </si>
  <si>
    <t xml:space="preserve">PNECsed Inside Marina 
(µg/g dw)
</t>
  </si>
  <si>
    <t xml:space="preserve">PNECsw Inside Marina 
(µg/l)
</t>
  </si>
  <si>
    <r>
      <t>µg cm</t>
    </r>
    <r>
      <rPr>
        <vertAlign val="superscript"/>
        <sz val="10"/>
        <color theme="1"/>
        <rFont val="Verdana"/>
        <family val="2"/>
      </rPr>
      <t>-2</t>
    </r>
    <r>
      <rPr>
        <sz val="10"/>
        <color theme="1"/>
        <rFont val="Verdana"/>
        <family val="2"/>
      </rPr>
      <t xml:space="preserve"> d</t>
    </r>
    <r>
      <rPr>
        <vertAlign val="superscript"/>
        <sz val="10"/>
        <color theme="1"/>
        <rFont val="Verdana"/>
        <family val="2"/>
      </rPr>
      <t>-1</t>
    </r>
  </si>
  <si>
    <t xml:space="preserve">Instructions for use of the PT21 Freshwater PEC tool </t>
  </si>
  <si>
    <t>Volume Solids content
(Volume of dry paint film versus volume of pain as manufactured)</t>
  </si>
  <si>
    <t>Freshwater Scenario</t>
  </si>
  <si>
    <t>Code</t>
  </si>
  <si>
    <t>Scenario Country</t>
  </si>
  <si>
    <t xml:space="preserve">MAMPEC-100_Boat PECsw surrounding marina
(average, disolved, µg/l)
</t>
  </si>
  <si>
    <t xml:space="preserve"> PNECsed Surrounding Marina
(µg/g dw)
</t>
  </si>
  <si>
    <t xml:space="preserve">PECsusp surrounding
marina
(average,
µg/g dw)
</t>
  </si>
  <si>
    <t xml:space="preserve">PECsw inside marina
(average, 
dissolved, µg/l)
</t>
  </si>
  <si>
    <t xml:space="preserve">
PECsusp inside 
marina
(average,
 µg/g dw)
</t>
  </si>
  <si>
    <t xml:space="preserve">PECsw surrounding
marina
(average,
dissolved, µg/l)
</t>
  </si>
  <si>
    <t>Created; based on PT21_PEC_Marine_Template_v4.xlsx received from UK CA. Removed marine regions and associated parameters; adapted to freshwater PEC data</t>
  </si>
  <si>
    <t>Active_Substance_Input_Parameters</t>
  </si>
  <si>
    <t>Output EU marinas</t>
  </si>
  <si>
    <t>OECD_Marina_Calculations</t>
  </si>
  <si>
    <t>Output_Regulatory Marinas</t>
  </si>
  <si>
    <t>EU_Marinas_Scenario_Calculations</t>
  </si>
  <si>
    <t xml:space="preserve">PNECsw Inside Marina (µg/l)
</t>
  </si>
  <si>
    <t xml:space="preserve">PNECsed Inside Marina (µg/g dw)
</t>
  </si>
  <si>
    <t xml:space="preserve">PNECsw Surrounding Marina (µg/l)
</t>
  </si>
  <si>
    <t xml:space="preserve">PNECsed Surrounding Marina (µg/g dw)
</t>
  </si>
  <si>
    <t xml:space="preserve">PEC:PNEC 
SW 
inside marina 
</t>
  </si>
  <si>
    <t xml:space="preserve">PEC:PNEC
Sed 
inside marina 
</t>
  </si>
  <si>
    <t xml:space="preserve">PEC:PNEC
SW surrounding marina 
</t>
  </si>
  <si>
    <t xml:space="preserve">PEC:PNEC
Sed surrounding marina 
</t>
  </si>
  <si>
    <t xml:space="preserve">PECsed inside marina
susp. 
(average, ug/g dw)
</t>
  </si>
  <si>
    <t xml:space="preserve">PECsed surrounding marina
susp. 
(average, ug/g dw)
</t>
  </si>
  <si>
    <t xml:space="preserve">PECsw inside marina
(average, 
dissolved, µg/l)
</t>
  </si>
  <si>
    <t xml:space="preserve">PECsusp inside 
marina
(average,
 µg/g dw)
</t>
  </si>
  <si>
    <t xml:space="preserve">
PECsw surrounding
marina
(average,
dissolved, µg/l)
</t>
  </si>
  <si>
    <t xml:space="preserve">
PECsusp surrounding
marina
(average,
µg/g dw)
</t>
  </si>
  <si>
    <t xml:space="preserve">PEC:PNEC Susp. inside marina 
</t>
  </si>
  <si>
    <t xml:space="preserve">PEC:PNEC SW surrounding marina 
</t>
  </si>
  <si>
    <t xml:space="preserve">PEC:PNEC Susp. surrounding marina
</t>
  </si>
  <si>
    <t>Freshwater calculator tool</t>
  </si>
  <si>
    <r>
      <rPr>
        <b/>
        <sz val="10"/>
        <color theme="1"/>
        <rFont val="Verdana"/>
        <family val="2"/>
      </rPr>
      <t>Reference document:</t>
    </r>
    <r>
      <rPr>
        <sz val="10"/>
        <color theme="1"/>
        <rFont val="Verdana"/>
        <family val="2"/>
      </rPr>
      <t xml:space="preserve"> </t>
    </r>
  </si>
  <si>
    <t>Formatting updated. Added conversion factor for possible future update of wet surface area. Application factor and conversion factor defined only once. Parameter names changed/added: measured and calculated Average biocide release over the lifetime of the paint. Tooltype added.</t>
  </si>
  <si>
    <r>
      <t>m</t>
    </r>
    <r>
      <rPr>
        <vertAlign val="superscript"/>
        <sz val="10"/>
        <color theme="1"/>
        <rFont val="Verdana"/>
        <family val="2"/>
      </rPr>
      <t xml:space="preserve">2 </t>
    </r>
    <r>
      <rPr>
        <b/>
        <sz val="10"/>
        <color theme="1"/>
        <rFont val="Verdana"/>
        <family val="2"/>
      </rPr>
      <t xml:space="preserve"> Default; do not change</t>
    </r>
  </si>
  <si>
    <t xml:space="preserve">MAMPEC-100_Boat
 PECsw inside marina 
(average, dissolved, µg/l)
</t>
  </si>
  <si>
    <t xml:space="preserve">MAMPEC-100_Boat
PECsusp. inside marina 
(average, 
µg/g dw)
</t>
  </si>
  <si>
    <t xml:space="preserve">MAMPEC-100_Boat PECsusp. surrounding
(average, 
µg/g dw)
</t>
  </si>
  <si>
    <t xml:space="preserve">PECsed inside marina
(average, 
µg/g dw)
</t>
  </si>
  <si>
    <t xml:space="preserve">PECsed surrounding
marina
(average, 
µg/g dw)
</t>
  </si>
  <si>
    <t>Tolylfluanid</t>
  </si>
  <si>
    <t>Draft  3.0</t>
  </si>
  <si>
    <t>Text in the introduction is adapted; calculation of correction factor for wet surface area is repaired in EU Marina Scenario Calc Tab; addtion of background concentrations for the sediment in regulatory marina scenarios calculations Tab</t>
  </si>
  <si>
    <t>Final 1.0</t>
  </si>
  <si>
    <r>
      <t>Default value for wetted surface area for freshwater pleasure craft was added (22.0 m</t>
    </r>
    <r>
      <rPr>
        <vertAlign val="superscript"/>
        <sz val="10"/>
        <color theme="1"/>
        <rFont val="Verdana"/>
        <family val="2"/>
      </rPr>
      <t>2</t>
    </r>
    <r>
      <rPr>
        <sz val="10"/>
        <color theme="1"/>
        <rFont val="Verdana"/>
        <family val="2"/>
      </rPr>
      <t>) in 'EU_Marinas_Sscenario_Calc' tab; not in Regulatory_Scenarios_Calc' tab. Application of WetSurfaceArea_ConversionFactor applied to PEC values in 'EU_Marinas_Scenario_Calc' tab. Tabs EU_Marinas_Scenario_Calc and Regulatory_Marinas_Calc are now hidden (Format/Sheet/Hide (Unhide)). Text was added to the tab 'Instructions'. Some minor editorial changes were performed.</t>
    </r>
  </si>
  <si>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</si>
  <si>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</si>
  <si>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C12:D13).  These should only be amended when running refined higher tier simulations and when fully supported by additional data.</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</si>
  <si>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</si>
  <si>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</si>
  <si>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</si>
  <si>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Scenario specific outputs can be viewed by selecting the relevant named tabs 'Output_EU_marinas' and 'Output_Regulatory_Marinas'.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</si>
  <si>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</si>
  <si>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t>
  </si>
  <si>
    <t>Calculation of Wetted Surface Area conversion</t>
  </si>
  <si>
    <t>New Default value WSA freshwater pleasure craft</t>
  </si>
  <si>
    <t>Wetted surface area considered within default calculations</t>
  </si>
  <si>
    <t xml:space="preserve">First, the user should select an appropriate Application Factor in cell H7.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</si>
  <si>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 xml:space="preserve">Next the user should enter information on the leaching rate.  There are two options.  Where a measured product specific leaching rate is available this should be entered directly into cell H11 (in µg cm-2 d-1).  The tool will preferentially use a measured leaching rate when one is entered.  If no measured data is available cell H11 must be left blank. </t>
  </si>
  <si>
    <t xml:space="preserve">In the absence of measured data on the leaching rate, the tool can be used to run the ISO mass-balance calculation method to determine a conservative estimate of long term leaching.  The variables for the ISO mass-balance method should be entered into cells I21:I27, taking care to use the correct units for each variable.  The sheet will estimate the long term release rate in cell I30 and use this in all subsequent calculations (provided cell H11 is left blank).  </t>
  </si>
  <si>
    <t>Final 1.1</t>
  </si>
  <si>
    <t>Regulatory marina calculations corrected to reflect raw data used 75 (Siwss) and 218 (NL) boats so no correction needed.  No other underlying calculations altered.</t>
  </si>
  <si>
    <t>Version Final 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</si>
</sst>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2"/>
      <color rgb="FFFFC000"/>
      <name val="Verdana"/>
      <family val="2"/>
    </font>
    <font>
      <sz val="11"/>
      <color theme="1"/>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sz val="10"/>
      <color rgb="FF0070C0"/>
      <name val="Verdana"/>
      <family val="2"/>
    </font>
    <font>
      <sz val="9"/>
      <color rgb="FF006100"/>
      <name val="Arial"/>
      <family val="2"/>
    </font>
    <font>
      <b/>
      <sz val="9"/>
      <color indexed="81"/>
      <name val="Tahoma"/>
      <charset val="1"/>
    </font>
    <font>
      <sz val="9"/>
      <color indexed="81"/>
      <name val="Tahoma"/>
      <charset val="1"/>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C6EFCE"/>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theme="4"/>
      </top>
      <bottom/>
      <diagonal/>
    </border>
  </borders>
  <cellStyleXfs count="31">
    <xf numFmtId="0" fontId="0" fillId="5" borderId="0">
      <alignment vertical="center"/>
    </xf>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8" fillId="7" borderId="0">
      <alignment horizontal="center"/>
    </xf>
    <xf numFmtId="0" fontId="19" fillId="8" borderId="0">
      <alignment horizontal="center" vertical="center" wrapText="1"/>
    </xf>
    <xf numFmtId="0" fontId="31" fillId="8" borderId="0">
      <alignment horizontal="center" vertical="center" wrapText="1"/>
    </xf>
    <xf numFmtId="0" fontId="20" fillId="11" borderId="0" applyAlignment="0"/>
    <xf numFmtId="0" fontId="5" fillId="9" borderId="6">
      <alignment horizontal="left" vertical="center"/>
    </xf>
    <xf numFmtId="2" fontId="5" fillId="10" borderId="18">
      <alignment horizontal="center" vertical="center"/>
    </xf>
    <xf numFmtId="0" fontId="5" fillId="12" borderId="0">
      <alignment horizontal="center" vertical="center"/>
    </xf>
    <xf numFmtId="0" fontId="19" fillId="13" borderId="0">
      <alignment horizontal="center" vertical="center" wrapText="1"/>
    </xf>
    <xf numFmtId="0" fontId="1" fillId="0" borderId="0"/>
    <xf numFmtId="0" fontId="28" fillId="0" borderId="1" applyNumberFormat="0" applyFill="0" applyAlignment="0" applyProtection="0"/>
    <xf numFmtId="0" fontId="20" fillId="14" borderId="0" applyAlignment="0"/>
    <xf numFmtId="0" fontId="29" fillId="15" borderId="0">
      <alignment horizontal="center" vertical="center" wrapText="1"/>
    </xf>
    <xf numFmtId="0" fontId="32" fillId="17" borderId="0" applyNumberFormat="0" applyBorder="0" applyProtection="0">
      <alignment vertical="center"/>
    </xf>
  </cellStyleXfs>
  <cellXfs count="178">
    <xf numFmtId="0" fontId="0" fillId="5" borderId="0" xfId="0">
      <alignment vertical="center"/>
    </xf>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alignment vertical="center"/>
    </xf>
    <xf numFmtId="0" fontId="17" fillId="5" borderId="0" xfId="0" applyFont="1" applyFill="1">
      <alignment vertical="center"/>
    </xf>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alignment vertical="center"/>
    </xf>
    <xf numFmtId="0" fontId="0" fillId="5" borderId="0" xfId="0" applyFont="1" applyFill="1">
      <alignment vertical="center"/>
    </xf>
    <xf numFmtId="0" fontId="4" fillId="5" borderId="0" xfId="0" applyFont="1" applyFill="1">
      <alignment vertical="center"/>
    </xf>
    <xf numFmtId="0" fontId="2" fillId="5" borderId="2" xfId="2" applyFill="1"/>
    <xf numFmtId="0" fontId="19" fillId="8" borderId="0" xfId="19">
      <alignment horizontal="center" vertical="center" wrapText="1"/>
    </xf>
    <xf numFmtId="0" fontId="31" fillId="8" borderId="0" xfId="20">
      <alignment horizontal="center" vertical="center" wrapText="1"/>
    </xf>
    <xf numFmtId="0" fontId="31" fillId="8" borderId="0" xfId="20" applyBorder="1">
      <alignment horizontal="center" vertical="center" wrapText="1"/>
    </xf>
    <xf numFmtId="0" fontId="31" fillId="8" borderId="8" xfId="20" applyBorder="1">
      <alignment horizontal="center" vertical="center" wrapText="1"/>
    </xf>
    <xf numFmtId="0" fontId="0" fillId="5" borderId="0" xfId="0" applyFill="1" applyBorder="1">
      <alignment vertical="center"/>
    </xf>
    <xf numFmtId="0" fontId="0" fillId="5" borderId="8" xfId="0" applyFill="1" applyBorder="1">
      <alignment vertical="center"/>
    </xf>
    <xf numFmtId="0" fontId="20"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3" fillId="5" borderId="0" xfId="0" applyFont="1" applyFill="1">
      <alignment vertical="center"/>
    </xf>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7" xfId="0" applyFill="1" applyBorder="1">
      <alignment vertical="center"/>
    </xf>
    <xf numFmtId="0" fontId="23" fillId="5" borderId="0" xfId="0" applyFont="1" applyFill="1" applyBorder="1" applyAlignment="1">
      <alignment horizontal="center"/>
    </xf>
    <xf numFmtId="0" fontId="23" fillId="5" borderId="0" xfId="0" applyFont="1" applyFill="1" applyBorder="1" applyAlignment="1">
      <alignment horizontal="center" vertical="center"/>
    </xf>
    <xf numFmtId="0" fontId="26"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26" fillId="5" borderId="16" xfId="0" applyFont="1" applyFill="1" applyBorder="1" applyAlignment="1">
      <alignment horizontal="center" vertical="center" wrapText="1"/>
    </xf>
    <xf numFmtId="0" fontId="0" fillId="5" borderId="15" xfId="0" applyFill="1" applyBorder="1" applyAlignment="1">
      <alignment horizontal="left" vertical="center" wrapText="1"/>
    </xf>
    <xf numFmtId="0" fontId="0" fillId="5" borderId="7" xfId="0" applyFill="1" applyBorder="1" applyAlignment="1">
      <alignment horizontal="left" vertical="center" wrapText="1"/>
    </xf>
    <xf numFmtId="0" fontId="0" fillId="5" borderId="16" xfId="0" applyFill="1" applyBorder="1" applyAlignment="1">
      <alignment horizontal="center" vertical="center"/>
    </xf>
    <xf numFmtId="2" fontId="5" fillId="10" borderId="18" xfId="23" applyBorder="1">
      <alignment horizontal="center" vertical="center"/>
    </xf>
    <xf numFmtId="2" fontId="5" fillId="10" borderId="19" xfId="23" applyBorder="1">
      <alignment horizontal="center" vertical="center"/>
    </xf>
    <xf numFmtId="0" fontId="13" fillId="5" borderId="0" xfId="15" applyFill="1"/>
    <xf numFmtId="2" fontId="0" fillId="5" borderId="0" xfId="0" applyNumberFormat="1" applyFill="1">
      <alignment vertical="center"/>
    </xf>
    <xf numFmtId="0" fontId="11" fillId="5" borderId="1" xfId="1" applyFill="1"/>
    <xf numFmtId="0" fontId="0" fillId="5" borderId="9" xfId="0" applyFill="1" applyBorder="1">
      <alignment vertical="center"/>
    </xf>
    <xf numFmtId="0" fontId="0" fillId="5" borderId="10" xfId="0" applyFill="1" applyBorder="1" applyAlignment="1">
      <alignment horizontal="left" vertical="center"/>
    </xf>
    <xf numFmtId="0" fontId="0" fillId="5" borderId="0" xfId="0" applyFill="1" applyAlignment="1">
      <alignment horizontal="right"/>
    </xf>
    <xf numFmtId="0" fontId="5" fillId="9" borderId="6" xfId="22" applyBorder="1" applyAlignment="1">
      <alignment horizontal="center" vertical="center"/>
    </xf>
    <xf numFmtId="0" fontId="21" fillId="7" borderId="12" xfId="0" applyFont="1" applyFill="1" applyBorder="1" applyAlignment="1" applyProtection="1">
      <alignment vertical="center"/>
      <protection locked="0"/>
    </xf>
    <xf numFmtId="0" fontId="21" fillId="7" borderId="13" xfId="0" applyFont="1" applyFill="1" applyBorder="1" applyAlignment="1" applyProtection="1">
      <alignment vertical="center"/>
      <protection locked="0"/>
    </xf>
    <xf numFmtId="0" fontId="21" fillId="7" borderId="14"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7" fillId="5" borderId="0" xfId="0" applyFont="1" applyFill="1">
      <alignment vertical="center"/>
    </xf>
    <xf numFmtId="0" fontId="11" fillId="5" borderId="1" xfId="12" applyFill="1" applyAlignment="1">
      <alignment horizontal="left"/>
    </xf>
    <xf numFmtId="0" fontId="2" fillId="5" borderId="2" xfId="2" applyFill="1" applyAlignment="1">
      <alignment horizontal="left"/>
    </xf>
    <xf numFmtId="0" fontId="3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vertical="center"/>
    </xf>
    <xf numFmtId="11" fontId="19" fillId="8" borderId="0" xfId="19" applyNumberFormat="1">
      <alignment horizontal="center" vertical="center" wrapText="1"/>
    </xf>
    <xf numFmtId="0" fontId="20" fillId="11" borderId="0" xfId="21" applyAlignment="1">
      <alignment horizontal="right"/>
    </xf>
    <xf numFmtId="0" fontId="29" fillId="15" borderId="0" xfId="29">
      <alignment horizontal="center" vertical="center" wrapText="1"/>
    </xf>
    <xf numFmtId="0" fontId="0" fillId="12" borderId="0" xfId="24" applyFont="1">
      <alignment horizontal="center" vertical="center"/>
    </xf>
    <xf numFmtId="0" fontId="30" fillId="5" borderId="0" xfId="0" applyFont="1" applyAlignment="1"/>
    <xf numFmtId="0" fontId="27" fillId="5" borderId="0" xfId="0" applyFont="1">
      <alignment vertical="center"/>
    </xf>
    <xf numFmtId="0" fontId="30" fillId="5" borderId="0" xfId="0" applyFont="1">
      <alignment vertical="center"/>
    </xf>
    <xf numFmtId="0" fontId="0" fillId="5" borderId="6" xfId="0" applyBorder="1">
      <alignment vertical="center"/>
    </xf>
    <xf numFmtId="0" fontId="30" fillId="5" borderId="0" xfId="0" applyFont="1" applyAlignment="1">
      <alignment horizontal="center"/>
    </xf>
    <xf numFmtId="0" fontId="0" fillId="5" borderId="0" xfId="0">
      <alignment vertical="center"/>
    </xf>
    <xf numFmtId="0" fontId="0" fillId="5" borderId="6" xfId="0" applyBorder="1" applyAlignment="1">
      <alignment wrapText="1"/>
    </xf>
    <xf numFmtId="0" fontId="0" fillId="16" borderId="0" xfId="0" applyFill="1">
      <alignment vertical="center"/>
    </xf>
    <xf numFmtId="0" fontId="30" fillId="16" borderId="0" xfId="0" applyFont="1" applyFill="1">
      <alignment vertical="center"/>
    </xf>
    <xf numFmtId="0" fontId="30" fillId="5" borderId="0" xfId="0" applyFont="1" applyFill="1" applyAlignment="1"/>
    <xf numFmtId="0" fontId="20" fillId="5" borderId="0" xfId="21" applyFill="1" applyBorder="1"/>
    <xf numFmtId="0" fontId="20" fillId="5" borderId="0" xfId="21" applyFill="1" applyBorder="1" applyAlignment="1">
      <alignment horizontal="right"/>
    </xf>
    <xf numFmtId="0" fontId="20" fillId="5" borderId="0" xfId="21" applyFill="1" applyBorder="1" applyAlignment="1">
      <alignment horizontal="center"/>
    </xf>
    <xf numFmtId="0" fontId="0" fillId="5" borderId="0" xfId="0" applyAlignment="1"/>
    <xf numFmtId="0" fontId="0" fillId="5" borderId="0" xfId="0" applyBorder="1">
      <alignment vertical="center"/>
    </xf>
    <xf numFmtId="0" fontId="0" fillId="5" borderId="0" xfId="0" applyFont="1" applyBorder="1">
      <alignment vertical="center"/>
    </xf>
    <xf numFmtId="0" fontId="0" fillId="5" borderId="0" xfId="0" applyBorder="1" applyAlignment="1">
      <alignment wrapText="1"/>
    </xf>
    <xf numFmtId="11" fontId="19" fillId="13" borderId="0" xfId="25" applyNumberFormat="1">
      <alignment horizontal="center" vertical="center" wrapText="1"/>
    </xf>
    <xf numFmtId="11" fontId="20" fillId="11" borderId="0" xfId="21" applyNumberFormat="1" applyAlignment="1">
      <alignment horizontal="center" vertical="center"/>
    </xf>
    <xf numFmtId="0" fontId="19" fillId="8" borderId="0" xfId="19" applyBorder="1">
      <alignment horizontal="center" vertical="center" wrapText="1"/>
    </xf>
    <xf numFmtId="11" fontId="19" fillId="8" borderId="0" xfId="19" applyNumberFormat="1" applyBorder="1">
      <alignment horizontal="center" vertical="center" wrapText="1"/>
    </xf>
    <xf numFmtId="11" fontId="20" fillId="11" borderId="0" xfId="21" applyNumberFormat="1" applyBorder="1" applyAlignment="1">
      <alignment horizontal="center"/>
    </xf>
    <xf numFmtId="0" fontId="0" fillId="16" borderId="0" xfId="0" applyFill="1" applyBorder="1">
      <alignment vertical="center"/>
    </xf>
    <xf numFmtId="0" fontId="0" fillId="16" borderId="0" xfId="0" applyFill="1" applyBorder="1" applyAlignment="1">
      <alignment wrapText="1"/>
    </xf>
    <xf numFmtId="0" fontId="27"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20" fillId="11" borderId="0" xfId="21" applyAlignment="1">
      <alignment horizontal="right"/>
    </xf>
    <xf numFmtId="0" fontId="0" fillId="5" borderId="0" xfId="0">
      <alignment vertical="center"/>
    </xf>
    <xf numFmtId="0" fontId="0" fillId="5" borderId="0" xfId="0">
      <alignment vertical="center"/>
    </xf>
    <xf numFmtId="0" fontId="18" fillId="7" borderId="0" xfId="18" applyAlignment="1"/>
    <xf numFmtId="14" fontId="0" fillId="5" borderId="0" xfId="0" applyNumberFormat="1">
      <alignment vertical="center"/>
    </xf>
    <xf numFmtId="0" fontId="0" fillId="5" borderId="0" xfId="0">
      <alignment vertical="center"/>
    </xf>
    <xf numFmtId="0" fontId="31" fillId="8" borderId="0" xfId="20" applyAlignment="1">
      <alignment horizontal="left" vertical="center" wrapText="1"/>
    </xf>
    <xf numFmtId="0" fontId="31" fillId="8" borderId="0" xfId="20" applyAlignment="1">
      <alignment horizontal="center" vertical="center" textRotation="90" wrapText="1"/>
    </xf>
    <xf numFmtId="0" fontId="5" fillId="9" borderId="6" xfId="22" applyAlignment="1">
      <alignment horizontal="center" vertical="center"/>
    </xf>
    <xf numFmtId="0" fontId="5" fillId="9" borderId="11" xfId="22" applyBorder="1" applyAlignment="1">
      <alignment horizontal="center" vertical="center"/>
    </xf>
    <xf numFmtId="0" fontId="19" fillId="8" borderId="0" xfId="19" applyAlignment="1">
      <alignment horizontal="left" vertical="center" wrapText="1"/>
    </xf>
    <xf numFmtId="0" fontId="31" fillId="8" borderId="0" xfId="20" applyFont="1">
      <alignment horizontal="center" vertical="center" wrapText="1"/>
    </xf>
    <xf numFmtId="0" fontId="31" fillId="8" borderId="0" xfId="20" applyFont="1" applyAlignment="1">
      <alignment horizontal="left" vertical="center" wrapText="1"/>
    </xf>
    <xf numFmtId="0" fontId="19" fillId="8" borderId="0" xfId="19" applyFont="1" applyAlignment="1">
      <alignment horizontal="left" vertical="center" wrapText="1"/>
    </xf>
    <xf numFmtId="11" fontId="19" fillId="12" borderId="0" xfId="24" applyNumberFormat="1" applyFont="1">
      <alignment horizontal="center" vertical="center"/>
    </xf>
    <xf numFmtId="11" fontId="19" fillId="8" borderId="0" xfId="19" applyNumberFormat="1" applyFont="1">
      <alignment horizontal="center" vertical="center" wrapText="1"/>
    </xf>
    <xf numFmtId="0" fontId="31" fillId="8" borderId="0" xfId="20" applyBorder="1" applyAlignment="1">
      <alignment horizontal="left" vertical="center" wrapText="1"/>
    </xf>
    <xf numFmtId="0" fontId="19" fillId="8" borderId="0" xfId="19" applyBorder="1" applyAlignment="1">
      <alignment horizontal="left" vertical="center" wrapText="1"/>
    </xf>
    <xf numFmtId="0" fontId="31" fillId="8" borderId="0" xfId="20" applyAlignment="1">
      <alignment horizontal="center" vertical="center" wrapText="1"/>
    </xf>
    <xf numFmtId="0" fontId="19" fillId="8" borderId="0" xfId="19" applyAlignment="1">
      <alignment horizontal="left" vertical="center"/>
    </xf>
    <xf numFmtId="0" fontId="0" fillId="5" borderId="0" xfId="0" applyBorder="1" applyAlignment="1">
      <alignment horizontal="left"/>
    </xf>
    <xf numFmtId="11" fontId="0" fillId="5" borderId="0" xfId="0" applyNumberFormat="1" applyBorder="1">
      <alignment vertical="center"/>
    </xf>
    <xf numFmtId="11" fontId="19" fillId="8" borderId="0" xfId="19" applyNumberFormat="1" applyFill="1" applyBorder="1">
      <alignment horizontal="center" vertical="center" wrapText="1"/>
    </xf>
    <xf numFmtId="0" fontId="0" fillId="5" borderId="6" xfId="0" applyBorder="1" applyAlignment="1">
      <alignment horizontal="center" wrapText="1"/>
    </xf>
    <xf numFmtId="0" fontId="0" fillId="0" borderId="0" xfId="8" applyFont="1"/>
    <xf numFmtId="0" fontId="10" fillId="5" borderId="0" xfId="14" quotePrefix="1" applyFill="1"/>
    <xf numFmtId="0" fontId="31" fillId="8" borderId="0" xfId="20" applyAlignment="1">
      <alignment horizontal="left" vertical="center"/>
    </xf>
    <xf numFmtId="0" fontId="0" fillId="5" borderId="0" xfId="0" applyAlignment="1">
      <alignment horizontal="center" vertical="center" wrapText="1"/>
    </xf>
    <xf numFmtId="0" fontId="0" fillId="5" borderId="0" xfId="0" applyAlignment="1">
      <alignment horizontal="center" vertical="center"/>
    </xf>
    <xf numFmtId="0" fontId="0" fillId="5" borderId="6" xfId="0" applyBorder="1" applyAlignment="1">
      <alignment horizontal="center" vertical="center" wrapText="1"/>
    </xf>
    <xf numFmtId="11" fontId="0" fillId="5" borderId="6" xfId="0" applyNumberFormat="1" applyBorder="1" applyAlignment="1">
      <alignment horizontal="center" vertical="center"/>
    </xf>
    <xf numFmtId="0" fontId="0" fillId="5" borderId="6" xfId="0" applyBorder="1" applyAlignment="1">
      <alignment vertical="center"/>
    </xf>
    <xf numFmtId="0" fontId="5" fillId="9" borderId="6" xfId="22" applyAlignment="1">
      <alignment horizontal="center"/>
    </xf>
    <xf numFmtId="0" fontId="31" fillId="8" borderId="0" xfId="20" applyAlignment="1">
      <alignment horizontal="right"/>
    </xf>
    <xf numFmtId="0" fontId="31" fillId="8" borderId="0" xfId="20" applyAlignment="1">
      <alignment horizontal="center"/>
    </xf>
    <xf numFmtId="0" fontId="31" fillId="8" borderId="0" xfId="20" applyAlignment="1">
      <alignment horizontal="right" vertical="center"/>
    </xf>
    <xf numFmtId="0" fontId="31" fillId="8" borderId="7" xfId="20" applyBorder="1" applyAlignment="1">
      <alignment horizontal="left" vertical="center" wrapText="1"/>
    </xf>
    <xf numFmtId="0" fontId="32" fillId="17" borderId="0" xfId="30" applyBorder="1" applyAlignment="1">
      <alignment vertical="center"/>
    </xf>
    <xf numFmtId="0" fontId="0" fillId="5" borderId="0" xfId="0" applyAlignment="1">
      <alignment horizontal="left" vertical="center" wrapText="1"/>
    </xf>
    <xf numFmtId="0" fontId="0" fillId="5" borderId="0" xfId="0" applyAlignment="1">
      <alignment vertical="top"/>
    </xf>
    <xf numFmtId="14" fontId="0" fillId="5" borderId="0" xfId="0" applyNumberFormat="1" applyAlignment="1">
      <alignment vertical="top"/>
    </xf>
    <xf numFmtId="11" fontId="19" fillId="8" borderId="0" xfId="19" applyNumberFormat="1" applyFont="1" applyAlignment="1">
      <alignment horizontal="center" vertical="center"/>
    </xf>
    <xf numFmtId="0" fontId="11" fillId="5" borderId="1" xfId="12" applyFill="1"/>
    <xf numFmtId="0" fontId="5" fillId="12" borderId="0" xfId="24" applyAlignment="1">
      <alignment vertical="center"/>
    </xf>
    <xf numFmtId="2" fontId="0" fillId="5" borderId="0" xfId="0" applyNumberFormat="1">
      <alignment vertical="center"/>
    </xf>
    <xf numFmtId="11" fontId="0" fillId="5" borderId="0" xfId="0" applyNumberFormat="1">
      <alignment vertical="center"/>
    </xf>
    <xf numFmtId="0" fontId="0" fillId="5" borderId="0" xfId="0" applyAlignment="1">
      <alignment vertical="center"/>
    </xf>
    <xf numFmtId="164" fontId="0" fillId="12" borderId="0" xfId="24" applyNumberFormat="1" applyFont="1">
      <alignment horizontal="center" vertical="center"/>
    </xf>
    <xf numFmtId="2" fontId="0" fillId="12" borderId="0" xfId="24" applyNumberFormat="1" applyFont="1">
      <alignment horizontal="center" vertical="center"/>
    </xf>
    <xf numFmtId="0" fontId="0" fillId="5" borderId="0" xfId="0" applyAlignment="1">
      <alignment horizontal="left" vertical="top" wrapText="1"/>
    </xf>
    <xf numFmtId="0" fontId="0" fillId="5" borderId="0" xfId="0" applyAlignment="1">
      <alignment vertical="center" wrapText="1"/>
    </xf>
    <xf numFmtId="0" fontId="11" fillId="5" borderId="1" xfId="1" applyFill="1" applyAlignment="1">
      <alignment horizontal="left"/>
    </xf>
    <xf numFmtId="0" fontId="0" fillId="5" borderId="0" xfId="0" applyAlignment="1">
      <alignment horizontal="left" vertical="top" wrapText="1"/>
    </xf>
    <xf numFmtId="0" fontId="11" fillId="5" borderId="1" xfId="12" applyFill="1" applyAlignment="1">
      <alignment horizontal="left" vertical="center"/>
    </xf>
    <xf numFmtId="0" fontId="0" fillId="5" borderId="0" xfId="0" applyFill="1" applyAlignment="1">
      <alignment horizontal="left" vertical="center" wrapText="1"/>
    </xf>
    <xf numFmtId="0" fontId="11" fillId="5" borderId="1" xfId="1" applyFill="1" applyAlignment="1">
      <alignment horizontal="left" vertical="center" wrapText="1"/>
    </xf>
    <xf numFmtId="0" fontId="11" fillId="5" borderId="1" xfId="12" applyFill="1" applyAlignment="1">
      <alignment horizontal="left"/>
    </xf>
    <xf numFmtId="0" fontId="18" fillId="7" borderId="7" xfId="18" applyBorder="1" applyAlignment="1">
      <alignment horizontal="left"/>
    </xf>
    <xf numFmtId="0" fontId="18" fillId="7" borderId="0" xfId="18" applyBorder="1" applyAlignment="1">
      <alignment horizontal="left"/>
    </xf>
    <xf numFmtId="0" fontId="18" fillId="7" borderId="8" xfId="18" applyBorder="1" applyAlignment="1">
      <alignment horizontal="left"/>
    </xf>
    <xf numFmtId="0" fontId="2" fillId="0" borderId="2" xfId="2" applyAlignment="1">
      <alignment horizontal="left"/>
    </xf>
    <xf numFmtId="0" fontId="0" fillId="5" borderId="20"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0" xfId="0" applyBorder="1" applyAlignment="1">
      <alignment vertical="center"/>
    </xf>
    <xf numFmtId="0" fontId="0" fillId="5" borderId="21" xfId="0" applyBorder="1" applyAlignment="1">
      <alignment vertical="center"/>
    </xf>
    <xf numFmtId="0" fontId="0" fillId="5" borderId="22" xfId="0" applyBorder="1" applyAlignment="1">
      <alignment vertical="center"/>
    </xf>
    <xf numFmtId="0" fontId="0" fillId="5" borderId="20" xfId="0" applyBorder="1" applyAlignment="1">
      <alignment horizontal="left" vertical="center"/>
    </xf>
    <xf numFmtId="0" fontId="0" fillId="5" borderId="21" xfId="0" applyBorder="1" applyAlignment="1">
      <alignment horizontal="left" vertical="center"/>
    </xf>
    <xf numFmtId="0" fontId="0" fillId="5" borderId="22" xfId="0" applyBorder="1" applyAlignment="1">
      <alignment horizontal="left" vertical="center"/>
    </xf>
    <xf numFmtId="0" fontId="0" fillId="5" borderId="6" xfId="0" applyBorder="1" applyAlignment="1">
      <alignment horizontal="left"/>
    </xf>
    <xf numFmtId="0" fontId="30" fillId="5" borderId="0" xfId="0" applyFont="1" applyAlignment="1">
      <alignment horizontal="left"/>
    </xf>
    <xf numFmtId="0" fontId="27" fillId="5" borderId="0" xfId="0" applyFont="1" applyAlignment="1">
      <alignment horizontal="left"/>
    </xf>
    <xf numFmtId="0" fontId="0" fillId="5" borderId="0" xfId="0" applyAlignment="1"/>
    <xf numFmtId="0" fontId="0" fillId="5" borderId="20" xfId="0" applyBorder="1" applyAlignment="1">
      <alignment horizontal="center" vertical="center" textRotation="90" wrapText="1"/>
    </xf>
    <xf numFmtId="0" fontId="0" fillId="5" borderId="22" xfId="0" applyBorder="1" applyAlignment="1">
      <alignment horizontal="center" vertical="center" textRotation="90" wrapText="1"/>
    </xf>
    <xf numFmtId="0" fontId="20" fillId="11" borderId="0" xfId="21" applyBorder="1" applyAlignment="1">
      <alignment horizontal="right"/>
    </xf>
    <xf numFmtId="0" fontId="11" fillId="5" borderId="1" xfId="1" applyFill="1" applyAlignment="1">
      <alignment horizontal="left" wrapText="1"/>
    </xf>
    <xf numFmtId="0" fontId="31" fillId="8" borderId="0" xfId="20" applyAlignment="1">
      <alignment horizontal="left" vertical="center"/>
    </xf>
    <xf numFmtId="0" fontId="18" fillId="7" borderId="0" xfId="18" applyAlignment="1">
      <alignment horizontal="left"/>
    </xf>
    <xf numFmtId="0" fontId="32" fillId="17" borderId="23" xfId="30" applyBorder="1" applyAlignment="1">
      <alignment horizontal="left" vertical="center"/>
    </xf>
    <xf numFmtId="0" fontId="18" fillId="7" borderId="12" xfId="18" applyBorder="1" applyAlignment="1">
      <alignment horizontal="left"/>
    </xf>
    <xf numFmtId="0" fontId="18" fillId="7" borderId="13" xfId="18" applyBorder="1" applyAlignment="1">
      <alignment horizontal="left"/>
    </xf>
    <xf numFmtId="0" fontId="11" fillId="5" borderId="1" xfId="1" applyFill="1" applyAlignment="1">
      <alignment wrapText="1"/>
    </xf>
    <xf numFmtId="0" fontId="20" fillId="11" borderId="0" xfId="21" applyAlignment="1">
      <alignment horizontal="right"/>
    </xf>
    <xf numFmtId="0" fontId="2" fillId="5" borderId="2" xfId="2" applyFill="1" applyAlignment="1">
      <alignment horizontal="left"/>
    </xf>
    <xf numFmtId="11" fontId="19" fillId="8" borderId="0" xfId="19" applyNumberFormat="1" applyAlignment="1">
      <alignment horizontal="center" vertical="center"/>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Good" xfId="30" builtinId="26" customBuiltin="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7">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304763</xdr:colOff>
      <xdr:row>40</xdr:row>
      <xdr:rowOff>151691</xdr:rowOff>
    </xdr:to>
    <xdr:pic>
      <xdr:nvPicPr>
        <xdr:cNvPr id="2" name="Picture 1"/>
        <xdr:cNvPicPr>
          <a:picLocks noChangeAspect="1"/>
        </xdr:cNvPicPr>
      </xdr:nvPicPr>
      <xdr:blipFill>
        <a:blip xmlns:r="http://schemas.openxmlformats.org/officeDocument/2006/relationships" r:embed="rId1"/>
        <a:stretch>
          <a:fillRect/>
        </a:stretch>
      </xdr:blipFill>
      <xdr:spPr>
        <a:xfrm>
          <a:off x="687917" y="1312333"/>
          <a:ext cx="8771429" cy="56761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Z53"/>
  <sheetViews>
    <sheetView tabSelected="1" zoomScale="90" zoomScaleNormal="90" workbookViewId="0"/>
  </sheetViews>
  <sheetFormatPr defaultRowHeight="12.75" customHeight="1" x14ac:dyDescent="0.2"/>
  <cols>
    <col min="1" max="1" width="9" style="4"/>
    <col min="2" max="3" width="19.5" style="96" customWidth="1"/>
    <col min="4" max="16384" width="9" style="96"/>
  </cols>
  <sheetData>
    <row r="1" spans="2:16" s="4" customFormat="1" ht="12.75" customHeight="1" x14ac:dyDescent="0.2"/>
    <row r="2" spans="2:16" s="4" customFormat="1" ht="21" customHeight="1" thickBot="1" x14ac:dyDescent="0.35">
      <c r="B2" s="142" t="s">
        <v>105</v>
      </c>
      <c r="C2" s="142"/>
      <c r="D2" s="142"/>
      <c r="E2" s="142"/>
      <c r="F2" s="142"/>
      <c r="G2" s="142"/>
      <c r="H2" s="142"/>
      <c r="I2" s="142"/>
      <c r="J2" s="142"/>
      <c r="K2" s="142"/>
      <c r="L2" s="142"/>
      <c r="M2" s="142"/>
      <c r="N2" s="142"/>
      <c r="O2" s="142"/>
    </row>
    <row r="3" spans="2:16" ht="12.75" customHeight="1" thickTop="1" x14ac:dyDescent="0.2">
      <c r="B3" s="137" t="s">
        <v>250</v>
      </c>
    </row>
    <row r="4" spans="2:16" ht="12.75" customHeight="1" x14ac:dyDescent="0.2">
      <c r="B4" s="96" t="s">
        <v>228</v>
      </c>
    </row>
    <row r="5" spans="2:16" ht="12.75" customHeight="1" x14ac:dyDescent="0.2">
      <c r="B5" s="96" t="s">
        <v>219</v>
      </c>
    </row>
    <row r="7" spans="2:16" ht="80.099999999999994" customHeight="1" x14ac:dyDescent="0.2">
      <c r="B7" s="141" t="s">
        <v>104</v>
      </c>
      <c r="C7" s="141"/>
      <c r="D7" s="141"/>
      <c r="E7" s="141"/>
      <c r="F7" s="141"/>
      <c r="G7" s="141"/>
      <c r="H7" s="141"/>
      <c r="I7" s="141"/>
      <c r="J7" s="141"/>
      <c r="K7" s="141"/>
      <c r="L7" s="141"/>
      <c r="M7" s="141"/>
      <c r="N7" s="141"/>
      <c r="O7" s="141"/>
      <c r="P7" s="141"/>
    </row>
    <row r="11" spans="2:16" ht="12.75" customHeight="1" x14ac:dyDescent="0.2">
      <c r="B11" s="96" t="s">
        <v>220</v>
      </c>
    </row>
    <row r="12" spans="2:16" ht="12.75" customHeight="1" x14ac:dyDescent="0.2">
      <c r="B12" s="96" t="s">
        <v>7</v>
      </c>
    </row>
    <row r="13" spans="2:16" ht="12.75" customHeight="1" x14ac:dyDescent="0.2">
      <c r="B13" s="96" t="s">
        <v>5</v>
      </c>
    </row>
    <row r="16" spans="2:16" ht="12.75" customHeight="1" x14ac:dyDescent="0.2">
      <c r="B16" s="96" t="s">
        <v>6</v>
      </c>
    </row>
    <row r="18" spans="2:26" ht="12.75" customHeight="1" x14ac:dyDescent="0.2">
      <c r="B18" s="130" t="s">
        <v>78</v>
      </c>
      <c r="C18" s="131">
        <v>42919</v>
      </c>
      <c r="D18" s="143" t="s">
        <v>196</v>
      </c>
      <c r="E18" s="143"/>
      <c r="F18" s="143"/>
      <c r="G18" s="143"/>
      <c r="H18" s="143"/>
      <c r="I18" s="143"/>
      <c r="J18" s="143"/>
      <c r="K18" s="143"/>
      <c r="L18" s="143"/>
      <c r="M18" s="143"/>
      <c r="N18" s="143"/>
      <c r="O18" s="143"/>
      <c r="P18" s="143"/>
      <c r="Q18" s="143"/>
      <c r="R18" s="143"/>
      <c r="S18" s="143"/>
      <c r="T18" s="143"/>
      <c r="U18" s="143"/>
      <c r="V18" s="143"/>
      <c r="W18" s="143"/>
      <c r="X18" s="143"/>
      <c r="Y18" s="143"/>
      <c r="Z18" s="143"/>
    </row>
    <row r="19" spans="2:26" ht="30.75" customHeight="1" x14ac:dyDescent="0.2">
      <c r="B19" s="130" t="s">
        <v>79</v>
      </c>
      <c r="C19" s="131">
        <v>42921</v>
      </c>
      <c r="D19" s="143" t="s">
        <v>221</v>
      </c>
      <c r="E19" s="143"/>
      <c r="F19" s="143"/>
      <c r="G19" s="143"/>
      <c r="H19" s="143"/>
      <c r="I19" s="143"/>
      <c r="J19" s="143"/>
      <c r="K19" s="143"/>
      <c r="L19" s="143"/>
      <c r="M19" s="143"/>
      <c r="N19" s="143"/>
      <c r="O19" s="143"/>
      <c r="P19" s="143"/>
      <c r="Q19" s="143"/>
      <c r="R19" s="143"/>
      <c r="S19" s="143"/>
      <c r="T19" s="143"/>
      <c r="U19" s="143"/>
      <c r="V19" s="143"/>
      <c r="W19" s="143"/>
      <c r="X19" s="143"/>
      <c r="Y19" s="143"/>
      <c r="Z19" s="143"/>
    </row>
    <row r="20" spans="2:26" ht="12.75" customHeight="1" x14ac:dyDescent="0.2">
      <c r="B20" s="130" t="s">
        <v>229</v>
      </c>
      <c r="C20" s="131">
        <v>42930</v>
      </c>
      <c r="D20" s="143" t="s">
        <v>230</v>
      </c>
      <c r="E20" s="143"/>
      <c r="F20" s="143"/>
      <c r="G20" s="143"/>
      <c r="H20" s="143"/>
      <c r="I20" s="143"/>
      <c r="J20" s="143"/>
      <c r="K20" s="143"/>
      <c r="L20" s="143"/>
      <c r="M20" s="143"/>
      <c r="N20" s="143"/>
      <c r="O20" s="143"/>
      <c r="P20" s="143"/>
      <c r="Q20" s="143"/>
      <c r="R20" s="143"/>
      <c r="S20" s="143"/>
      <c r="T20" s="143"/>
      <c r="U20" s="143"/>
      <c r="V20" s="143"/>
      <c r="W20" s="143"/>
      <c r="X20" s="143"/>
      <c r="Y20" s="143"/>
      <c r="Z20" s="143"/>
    </row>
    <row r="21" spans="2:26" ht="27.95" customHeight="1" x14ac:dyDescent="0.2">
      <c r="B21" s="130" t="s">
        <v>231</v>
      </c>
      <c r="C21" s="131">
        <v>43006</v>
      </c>
      <c r="D21" s="143" t="s">
        <v>232</v>
      </c>
      <c r="E21" s="143"/>
      <c r="F21" s="143"/>
      <c r="G21" s="143"/>
      <c r="H21" s="143"/>
      <c r="I21" s="143"/>
      <c r="J21" s="143"/>
      <c r="K21" s="143"/>
      <c r="L21" s="143"/>
      <c r="M21" s="143"/>
      <c r="N21" s="143"/>
      <c r="O21" s="143"/>
      <c r="P21" s="143"/>
      <c r="Q21" s="143"/>
      <c r="R21" s="143"/>
      <c r="S21" s="143"/>
      <c r="T21" s="143"/>
      <c r="U21" s="143"/>
      <c r="V21" s="143"/>
      <c r="W21" s="143"/>
      <c r="X21" s="143"/>
      <c r="Y21" s="143"/>
      <c r="Z21" s="143"/>
    </row>
    <row r="22" spans="2:26" ht="12.75" customHeight="1" x14ac:dyDescent="0.2">
      <c r="B22" s="130" t="s">
        <v>248</v>
      </c>
      <c r="C22" s="131">
        <v>43021</v>
      </c>
      <c r="D22" s="143" t="s">
        <v>249</v>
      </c>
      <c r="E22" s="143"/>
      <c r="F22" s="143"/>
      <c r="G22" s="143"/>
      <c r="H22" s="143"/>
      <c r="I22" s="143"/>
      <c r="J22" s="143"/>
      <c r="K22" s="143"/>
      <c r="L22" s="143"/>
      <c r="M22" s="143"/>
      <c r="N22" s="143"/>
      <c r="O22" s="143"/>
      <c r="P22" s="143"/>
      <c r="Q22" s="143"/>
      <c r="R22" s="143"/>
      <c r="S22" s="143"/>
      <c r="T22" s="143"/>
      <c r="U22" s="143"/>
      <c r="V22" s="143"/>
      <c r="W22" s="143"/>
      <c r="X22" s="143"/>
      <c r="Y22" s="143"/>
      <c r="Z22" s="143"/>
    </row>
    <row r="23" spans="2:26" ht="12.75" customHeight="1" x14ac:dyDescent="0.2">
      <c r="B23" s="130"/>
      <c r="C23" s="130"/>
      <c r="D23" s="143"/>
      <c r="E23" s="143"/>
      <c r="F23" s="143"/>
      <c r="G23" s="143"/>
      <c r="H23" s="143"/>
      <c r="I23" s="143"/>
      <c r="J23" s="143"/>
      <c r="K23" s="143"/>
      <c r="L23" s="143"/>
      <c r="M23" s="143"/>
      <c r="N23" s="143"/>
      <c r="O23" s="143"/>
      <c r="P23" s="143"/>
      <c r="Q23" s="143"/>
      <c r="R23" s="143"/>
      <c r="S23" s="143"/>
      <c r="T23" s="143"/>
      <c r="U23" s="143"/>
      <c r="V23" s="143"/>
      <c r="W23" s="143"/>
      <c r="X23" s="143"/>
      <c r="Y23" s="143"/>
      <c r="Z23" s="143"/>
    </row>
    <row r="24" spans="2:26" ht="12.75" customHeight="1" x14ac:dyDescent="0.2">
      <c r="B24" s="130"/>
      <c r="C24" s="130"/>
      <c r="D24" s="143"/>
      <c r="E24" s="143"/>
      <c r="F24" s="143"/>
      <c r="G24" s="143"/>
      <c r="H24" s="143"/>
      <c r="I24" s="143"/>
      <c r="J24" s="143"/>
      <c r="K24" s="143"/>
      <c r="L24" s="143"/>
      <c r="M24" s="143"/>
      <c r="N24" s="143"/>
      <c r="O24" s="143"/>
      <c r="P24" s="143"/>
      <c r="Q24" s="143"/>
      <c r="R24" s="143"/>
      <c r="S24" s="143"/>
      <c r="T24" s="143"/>
      <c r="U24" s="143"/>
      <c r="V24" s="143"/>
      <c r="W24" s="143"/>
      <c r="X24" s="143"/>
      <c r="Y24" s="143"/>
      <c r="Z24" s="143"/>
    </row>
    <row r="25" spans="2:26" ht="12.75" customHeight="1" x14ac:dyDescent="0.2">
      <c r="B25" s="130"/>
      <c r="C25" s="130"/>
      <c r="D25" s="143"/>
      <c r="E25" s="143"/>
      <c r="F25" s="143"/>
      <c r="G25" s="143"/>
      <c r="H25" s="143"/>
      <c r="I25" s="143"/>
      <c r="J25" s="143"/>
      <c r="K25" s="143"/>
      <c r="L25" s="143"/>
      <c r="M25" s="143"/>
      <c r="N25" s="143"/>
      <c r="O25" s="143"/>
      <c r="P25" s="143"/>
      <c r="Q25" s="143"/>
      <c r="R25" s="143"/>
      <c r="S25" s="143"/>
      <c r="T25" s="143"/>
      <c r="U25" s="143"/>
      <c r="V25" s="143"/>
      <c r="W25" s="143"/>
      <c r="X25" s="143"/>
      <c r="Y25" s="143"/>
      <c r="Z25" s="143"/>
    </row>
    <row r="26" spans="2:26" ht="12.75" customHeight="1" x14ac:dyDescent="0.2">
      <c r="B26" s="130"/>
      <c r="C26" s="130"/>
      <c r="D26" s="143"/>
      <c r="E26" s="143"/>
      <c r="F26" s="143"/>
      <c r="G26" s="143"/>
      <c r="H26" s="143"/>
      <c r="I26" s="143"/>
      <c r="J26" s="143"/>
      <c r="K26" s="143"/>
      <c r="L26" s="143"/>
      <c r="M26" s="143"/>
      <c r="N26" s="143"/>
      <c r="O26" s="143"/>
      <c r="P26" s="143"/>
      <c r="Q26" s="143"/>
      <c r="R26" s="143"/>
      <c r="S26" s="143"/>
      <c r="T26" s="143"/>
      <c r="U26" s="143"/>
      <c r="V26" s="143"/>
      <c r="W26" s="143"/>
      <c r="X26" s="143"/>
      <c r="Y26" s="143"/>
      <c r="Z26" s="143"/>
    </row>
    <row r="27" spans="2:26" ht="12.75" customHeight="1" x14ac:dyDescent="0.2">
      <c r="B27" s="130"/>
      <c r="C27" s="130"/>
      <c r="D27" s="143"/>
      <c r="E27" s="143"/>
      <c r="F27" s="143"/>
      <c r="G27" s="143"/>
      <c r="H27" s="143"/>
      <c r="I27" s="143"/>
      <c r="J27" s="143"/>
      <c r="K27" s="143"/>
      <c r="L27" s="143"/>
      <c r="M27" s="143"/>
      <c r="N27" s="143"/>
      <c r="O27" s="143"/>
      <c r="P27" s="143"/>
      <c r="Q27" s="143"/>
      <c r="R27" s="143"/>
      <c r="S27" s="143"/>
      <c r="T27" s="143"/>
      <c r="U27" s="143"/>
      <c r="V27" s="143"/>
      <c r="W27" s="143"/>
      <c r="X27" s="143"/>
      <c r="Y27" s="143"/>
      <c r="Z27" s="143"/>
    </row>
    <row r="28" spans="2:26" ht="12.75" customHeight="1" x14ac:dyDescent="0.2">
      <c r="B28" s="130"/>
      <c r="C28" s="130"/>
      <c r="D28" s="143"/>
      <c r="E28" s="143"/>
      <c r="F28" s="143"/>
      <c r="G28" s="143"/>
      <c r="H28" s="143"/>
      <c r="I28" s="143"/>
      <c r="J28" s="143"/>
      <c r="K28" s="143"/>
      <c r="L28" s="143"/>
      <c r="M28" s="143"/>
      <c r="N28" s="143"/>
      <c r="O28" s="143"/>
      <c r="P28" s="143"/>
      <c r="Q28" s="143"/>
      <c r="R28" s="143"/>
      <c r="S28" s="143"/>
      <c r="T28" s="143"/>
      <c r="U28" s="143"/>
      <c r="V28" s="143"/>
      <c r="W28" s="143"/>
      <c r="X28" s="143"/>
      <c r="Y28" s="143"/>
      <c r="Z28" s="143"/>
    </row>
    <row r="29" spans="2:26" ht="12.75" customHeight="1" x14ac:dyDescent="0.2">
      <c r="B29" s="130"/>
      <c r="C29" s="130"/>
      <c r="D29" s="143"/>
      <c r="E29" s="143"/>
      <c r="F29" s="143"/>
      <c r="G29" s="143"/>
      <c r="H29" s="143"/>
      <c r="I29" s="143"/>
      <c r="J29" s="143"/>
      <c r="K29" s="143"/>
      <c r="L29" s="143"/>
      <c r="M29" s="143"/>
      <c r="N29" s="143"/>
      <c r="O29" s="143"/>
      <c r="P29" s="143"/>
      <c r="Q29" s="143"/>
      <c r="R29" s="143"/>
      <c r="S29" s="143"/>
      <c r="T29" s="143"/>
      <c r="U29" s="143"/>
      <c r="V29" s="143"/>
      <c r="W29" s="143"/>
      <c r="X29" s="143"/>
      <c r="Y29" s="143"/>
      <c r="Z29" s="143"/>
    </row>
    <row r="30" spans="2:26" ht="12.75" customHeight="1" x14ac:dyDescent="0.2">
      <c r="B30" s="130"/>
      <c r="C30" s="130"/>
      <c r="D30" s="143"/>
      <c r="E30" s="143"/>
      <c r="F30" s="143"/>
      <c r="G30" s="143"/>
      <c r="H30" s="143"/>
      <c r="I30" s="143"/>
      <c r="J30" s="143"/>
      <c r="K30" s="143"/>
      <c r="L30" s="143"/>
      <c r="M30" s="143"/>
      <c r="N30" s="143"/>
      <c r="O30" s="143"/>
      <c r="P30" s="143"/>
      <c r="Q30" s="143"/>
      <c r="R30" s="143"/>
      <c r="S30" s="143"/>
      <c r="T30" s="143"/>
      <c r="U30" s="143"/>
      <c r="V30" s="143"/>
      <c r="W30" s="143"/>
      <c r="X30" s="143"/>
      <c r="Y30" s="143"/>
      <c r="Z30" s="143"/>
    </row>
    <row r="31" spans="2:26" ht="12.75" customHeight="1" x14ac:dyDescent="0.2">
      <c r="B31" s="130"/>
      <c r="C31" s="130"/>
      <c r="D31" s="140"/>
      <c r="E31" s="130"/>
      <c r="F31" s="130"/>
      <c r="G31" s="130"/>
      <c r="H31" s="130"/>
      <c r="I31" s="130"/>
      <c r="J31" s="130"/>
      <c r="K31" s="130"/>
      <c r="L31" s="130"/>
      <c r="M31" s="130"/>
      <c r="N31" s="130"/>
      <c r="O31" s="130"/>
      <c r="P31" s="130"/>
      <c r="Q31" s="130"/>
      <c r="R31" s="130"/>
      <c r="S31" s="130"/>
      <c r="T31" s="130"/>
      <c r="U31" s="130"/>
      <c r="V31" s="130"/>
      <c r="W31" s="130"/>
      <c r="X31" s="130"/>
      <c r="Y31" s="130"/>
      <c r="Z31" s="130"/>
    </row>
    <row r="32" spans="2:26" ht="12.75" customHeight="1" x14ac:dyDescent="0.2">
      <c r="B32" s="130"/>
      <c r="C32" s="130"/>
      <c r="D32" s="140"/>
      <c r="E32" s="130"/>
      <c r="F32" s="130"/>
      <c r="G32" s="130"/>
      <c r="H32" s="130"/>
      <c r="I32" s="130"/>
      <c r="J32" s="130"/>
      <c r="K32" s="130"/>
      <c r="L32" s="130"/>
      <c r="M32" s="130"/>
      <c r="N32" s="130"/>
      <c r="O32" s="130"/>
      <c r="P32" s="130"/>
      <c r="Q32" s="130"/>
      <c r="R32" s="130"/>
      <c r="S32" s="130"/>
      <c r="T32" s="130"/>
      <c r="U32" s="130"/>
      <c r="V32" s="130"/>
      <c r="W32" s="130"/>
      <c r="X32" s="130"/>
      <c r="Y32" s="130"/>
      <c r="Z32" s="130"/>
    </row>
    <row r="33" spans="2:26" ht="12.75" customHeight="1" x14ac:dyDescent="0.2">
      <c r="B33" s="130"/>
      <c r="C33" s="130"/>
      <c r="D33" s="140"/>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2:26" ht="12.75" customHeight="1" x14ac:dyDescent="0.2">
      <c r="B34" s="130"/>
      <c r="C34" s="130"/>
      <c r="D34" s="140"/>
      <c r="E34" s="130"/>
      <c r="F34" s="130"/>
      <c r="G34" s="130"/>
      <c r="H34" s="130"/>
      <c r="I34" s="130"/>
      <c r="J34" s="130"/>
      <c r="K34" s="130"/>
      <c r="L34" s="130"/>
      <c r="M34" s="130"/>
      <c r="N34" s="130"/>
      <c r="O34" s="130"/>
      <c r="P34" s="130"/>
      <c r="Q34" s="130"/>
      <c r="R34" s="130"/>
      <c r="S34" s="130"/>
      <c r="T34" s="130"/>
      <c r="U34" s="130"/>
      <c r="V34" s="130"/>
      <c r="W34" s="130"/>
      <c r="X34" s="130"/>
      <c r="Y34" s="130"/>
      <c r="Z34" s="130"/>
    </row>
    <row r="35" spans="2:26" ht="12.75" customHeight="1" x14ac:dyDescent="0.2">
      <c r="B35" s="130"/>
      <c r="C35" s="130"/>
      <c r="D35" s="14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2:26" ht="12.75" customHeight="1" x14ac:dyDescent="0.2">
      <c r="B36" s="130"/>
      <c r="C36" s="130"/>
      <c r="D36" s="14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2:26" ht="12.75" customHeight="1" x14ac:dyDescent="0.2">
      <c r="B37" s="130"/>
      <c r="C37" s="130"/>
      <c r="D37" s="140"/>
      <c r="E37" s="130"/>
      <c r="F37" s="130"/>
      <c r="G37" s="130"/>
      <c r="H37" s="130"/>
      <c r="I37" s="130"/>
      <c r="J37" s="130"/>
      <c r="K37" s="130"/>
      <c r="L37" s="130"/>
      <c r="M37" s="130"/>
      <c r="N37" s="130"/>
      <c r="O37" s="130"/>
      <c r="P37" s="130"/>
      <c r="Q37" s="130"/>
      <c r="R37" s="130"/>
      <c r="S37" s="130"/>
      <c r="T37" s="130"/>
      <c r="U37" s="130"/>
      <c r="V37" s="130"/>
      <c r="W37" s="130"/>
      <c r="X37" s="130"/>
      <c r="Y37" s="130"/>
      <c r="Z37" s="130"/>
    </row>
    <row r="38" spans="2:26" ht="12.75" customHeight="1" x14ac:dyDescent="0.2">
      <c r="B38" s="130"/>
      <c r="C38" s="130"/>
      <c r="D38" s="140"/>
      <c r="E38" s="130"/>
      <c r="F38" s="130"/>
      <c r="G38" s="130"/>
      <c r="H38" s="130"/>
      <c r="I38" s="130"/>
      <c r="J38" s="130"/>
      <c r="K38" s="130"/>
      <c r="L38" s="130"/>
      <c r="M38" s="130"/>
      <c r="N38" s="130"/>
      <c r="O38" s="130"/>
      <c r="P38" s="130"/>
      <c r="Q38" s="130"/>
      <c r="R38" s="130"/>
      <c r="S38" s="130"/>
      <c r="T38" s="130"/>
      <c r="U38" s="130"/>
      <c r="V38" s="130"/>
      <c r="W38" s="130"/>
      <c r="X38" s="130"/>
      <c r="Y38" s="130"/>
      <c r="Z38" s="130"/>
    </row>
    <row r="39" spans="2:26" ht="12.75" customHeight="1" x14ac:dyDescent="0.2">
      <c r="B39" s="130"/>
      <c r="C39" s="130"/>
      <c r="D39" s="140"/>
      <c r="E39" s="130"/>
      <c r="F39" s="130"/>
      <c r="G39" s="130"/>
      <c r="H39" s="130"/>
      <c r="I39" s="130"/>
      <c r="J39" s="130"/>
      <c r="K39" s="130"/>
      <c r="L39" s="130"/>
      <c r="M39" s="130"/>
      <c r="N39" s="130"/>
      <c r="O39" s="130"/>
      <c r="P39" s="130"/>
      <c r="Q39" s="130"/>
      <c r="R39" s="130"/>
      <c r="S39" s="130"/>
      <c r="T39" s="130"/>
      <c r="U39" s="130"/>
      <c r="V39" s="130"/>
      <c r="W39" s="130"/>
      <c r="X39" s="130"/>
      <c r="Y39" s="130"/>
      <c r="Z39" s="130"/>
    </row>
    <row r="40" spans="2:26" ht="12.75" customHeight="1" x14ac:dyDescent="0.2">
      <c r="B40" s="130"/>
      <c r="C40" s="130"/>
      <c r="D40" s="140"/>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2:26" ht="12.75" customHeight="1" x14ac:dyDescent="0.2">
      <c r="B41" s="130"/>
      <c r="C41" s="130"/>
      <c r="D41" s="140"/>
      <c r="E41" s="130"/>
      <c r="F41" s="130"/>
      <c r="G41" s="130"/>
      <c r="H41" s="130"/>
      <c r="I41" s="130"/>
      <c r="J41" s="130"/>
      <c r="K41" s="130"/>
      <c r="L41" s="130"/>
      <c r="M41" s="130"/>
      <c r="N41" s="130"/>
      <c r="O41" s="130"/>
      <c r="P41" s="130"/>
      <c r="Q41" s="130"/>
      <c r="R41" s="130"/>
      <c r="S41" s="130"/>
      <c r="T41" s="130"/>
      <c r="U41" s="130"/>
      <c r="V41" s="130"/>
      <c r="W41" s="130"/>
      <c r="X41" s="130"/>
      <c r="Y41" s="130"/>
      <c r="Z41" s="130"/>
    </row>
    <row r="42" spans="2:26" ht="12.75" customHeight="1" x14ac:dyDescent="0.2">
      <c r="B42" s="130"/>
      <c r="C42" s="130"/>
      <c r="D42" s="140"/>
      <c r="E42" s="130"/>
      <c r="F42" s="130"/>
      <c r="G42" s="130"/>
      <c r="H42" s="130"/>
      <c r="I42" s="130"/>
      <c r="J42" s="130"/>
      <c r="K42" s="130"/>
      <c r="L42" s="130"/>
      <c r="M42" s="130"/>
      <c r="N42" s="130"/>
      <c r="O42" s="130"/>
      <c r="P42" s="130"/>
      <c r="Q42" s="130"/>
      <c r="R42" s="130"/>
      <c r="S42" s="130"/>
      <c r="T42" s="130"/>
      <c r="U42" s="130"/>
      <c r="V42" s="130"/>
      <c r="W42" s="130"/>
      <c r="X42" s="130"/>
      <c r="Y42" s="130"/>
      <c r="Z42" s="130"/>
    </row>
    <row r="43" spans="2:26" ht="12.75" customHeight="1" x14ac:dyDescent="0.2">
      <c r="B43" s="130"/>
      <c r="C43" s="130"/>
      <c r="D43" s="140"/>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2:26" ht="12.75" customHeight="1" x14ac:dyDescent="0.2">
      <c r="B44" s="130"/>
      <c r="C44" s="130"/>
      <c r="D44" s="140"/>
      <c r="E44" s="130"/>
      <c r="F44" s="130"/>
      <c r="G44" s="130"/>
      <c r="H44" s="130"/>
      <c r="I44" s="130"/>
      <c r="J44" s="130"/>
      <c r="K44" s="130"/>
      <c r="L44" s="130"/>
      <c r="M44" s="130"/>
      <c r="N44" s="130"/>
      <c r="O44" s="130"/>
      <c r="P44" s="130"/>
      <c r="Q44" s="130"/>
      <c r="R44" s="130"/>
      <c r="S44" s="130"/>
      <c r="T44" s="130"/>
      <c r="U44" s="130"/>
      <c r="V44" s="130"/>
      <c r="W44" s="130"/>
      <c r="X44" s="130"/>
      <c r="Y44" s="130"/>
      <c r="Z44" s="130"/>
    </row>
    <row r="45" spans="2:26" ht="12.75" customHeight="1" x14ac:dyDescent="0.2">
      <c r="B45" s="130"/>
      <c r="C45" s="130"/>
      <c r="D45" s="140"/>
      <c r="E45" s="130"/>
      <c r="F45" s="130"/>
      <c r="G45" s="130"/>
      <c r="H45" s="130"/>
      <c r="I45" s="130"/>
      <c r="J45" s="130"/>
      <c r="K45" s="130"/>
      <c r="L45" s="130"/>
      <c r="M45" s="130"/>
      <c r="N45" s="130"/>
      <c r="O45" s="130"/>
      <c r="P45" s="130"/>
      <c r="Q45" s="130"/>
      <c r="R45" s="130"/>
      <c r="S45" s="130"/>
      <c r="T45" s="130"/>
      <c r="U45" s="130"/>
      <c r="V45" s="130"/>
      <c r="W45" s="130"/>
      <c r="X45" s="130"/>
      <c r="Y45" s="130"/>
      <c r="Z45" s="130"/>
    </row>
    <row r="46" spans="2:26" ht="12.75" customHeight="1" x14ac:dyDescent="0.2">
      <c r="B46" s="130"/>
      <c r="C46" s="130"/>
      <c r="D46" s="140"/>
      <c r="E46" s="130"/>
      <c r="F46" s="130"/>
      <c r="G46" s="130"/>
      <c r="H46" s="130"/>
      <c r="I46" s="130"/>
      <c r="J46" s="130"/>
      <c r="K46" s="130"/>
      <c r="L46" s="130"/>
      <c r="M46" s="130"/>
      <c r="N46" s="130"/>
      <c r="O46" s="130"/>
      <c r="P46" s="130"/>
      <c r="Q46" s="130"/>
      <c r="R46" s="130"/>
      <c r="S46" s="130"/>
      <c r="T46" s="130"/>
      <c r="U46" s="130"/>
      <c r="V46" s="130"/>
      <c r="W46" s="130"/>
      <c r="X46" s="130"/>
      <c r="Y46" s="130"/>
      <c r="Z46" s="130"/>
    </row>
    <row r="47" spans="2:26" ht="12.75" customHeight="1" x14ac:dyDescent="0.2">
      <c r="B47" s="130"/>
      <c r="C47" s="130"/>
      <c r="D47" s="140"/>
      <c r="E47" s="130"/>
      <c r="F47" s="130"/>
      <c r="G47" s="130"/>
      <c r="H47" s="130"/>
      <c r="I47" s="130"/>
      <c r="J47" s="130"/>
      <c r="K47" s="130"/>
      <c r="L47" s="130"/>
      <c r="M47" s="130"/>
      <c r="N47" s="130"/>
      <c r="O47" s="130"/>
      <c r="P47" s="130"/>
      <c r="Q47" s="130"/>
      <c r="R47" s="130"/>
      <c r="S47" s="130"/>
      <c r="T47" s="130"/>
      <c r="U47" s="130"/>
      <c r="V47" s="130"/>
      <c r="W47" s="130"/>
      <c r="X47" s="130"/>
      <c r="Y47" s="130"/>
      <c r="Z47" s="130"/>
    </row>
    <row r="48" spans="2:26" ht="12.75" customHeight="1" x14ac:dyDescent="0.2">
      <c r="B48" s="130"/>
      <c r="C48" s="130"/>
      <c r="D48" s="140"/>
      <c r="E48" s="130"/>
      <c r="F48" s="130"/>
      <c r="G48" s="130"/>
      <c r="H48" s="130"/>
      <c r="I48" s="130"/>
      <c r="J48" s="130"/>
      <c r="K48" s="130"/>
      <c r="L48" s="130"/>
      <c r="M48" s="130"/>
      <c r="N48" s="130"/>
      <c r="O48" s="130"/>
      <c r="P48" s="130"/>
      <c r="Q48" s="130"/>
      <c r="R48" s="130"/>
      <c r="S48" s="130"/>
      <c r="T48" s="130"/>
      <c r="U48" s="130"/>
      <c r="V48" s="130"/>
      <c r="W48" s="130"/>
      <c r="X48" s="130"/>
      <c r="Y48" s="130"/>
      <c r="Z48" s="130"/>
    </row>
    <row r="49" spans="4:4" ht="12.75" customHeight="1" x14ac:dyDescent="0.2">
      <c r="D49" s="129"/>
    </row>
    <row r="50" spans="4:4" ht="12.75" customHeight="1" x14ac:dyDescent="0.2">
      <c r="D50" s="129"/>
    </row>
    <row r="51" spans="4:4" ht="12.75" customHeight="1" x14ac:dyDescent="0.2">
      <c r="D51" s="129"/>
    </row>
    <row r="52" spans="4:4" ht="12.75" customHeight="1" x14ac:dyDescent="0.2">
      <c r="D52" s="129"/>
    </row>
    <row r="53" spans="4:4" ht="12.75" customHeight="1" x14ac:dyDescent="0.2">
      <c r="D53" s="129"/>
    </row>
  </sheetData>
  <mergeCells count="15">
    <mergeCell ref="D26:Z26"/>
    <mergeCell ref="D27:Z27"/>
    <mergeCell ref="D28:Z28"/>
    <mergeCell ref="D29:Z29"/>
    <mergeCell ref="D30:Z30"/>
    <mergeCell ref="D21:Z21"/>
    <mergeCell ref="D22:Z22"/>
    <mergeCell ref="D23:Z23"/>
    <mergeCell ref="D24:Z24"/>
    <mergeCell ref="D25:Z25"/>
    <mergeCell ref="B7:P7"/>
    <mergeCell ref="B2:O2"/>
    <mergeCell ref="D18:Z18"/>
    <mergeCell ref="D19:Z19"/>
    <mergeCell ref="D20:Z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22"/>
  <sheetViews>
    <sheetView zoomScale="90" zoomScaleNormal="90" workbookViewId="0"/>
  </sheetViews>
  <sheetFormatPr defaultRowHeight="12.75" x14ac:dyDescent="0.2"/>
  <cols>
    <col min="2" max="2" width="30.625" customWidth="1"/>
    <col min="3" max="3" width="25.25" customWidth="1"/>
    <col min="5" max="12" width="15.625" customWidth="1"/>
    <col min="13" max="16" width="11.625" customWidth="1"/>
    <col min="17" max="20" width="12.625" customWidth="1"/>
  </cols>
  <sheetData>
    <row r="2" spans="2:18" ht="21" thickBot="1" x14ac:dyDescent="0.35">
      <c r="B2" s="174" t="s">
        <v>105</v>
      </c>
      <c r="C2" s="174"/>
      <c r="D2" s="174"/>
      <c r="E2" s="174"/>
      <c r="F2" s="174"/>
      <c r="G2" s="174"/>
      <c r="H2" s="174"/>
      <c r="I2" s="174"/>
      <c r="J2" s="174"/>
      <c r="K2" s="174"/>
      <c r="L2" s="174"/>
      <c r="M2" s="174"/>
      <c r="N2" s="174"/>
      <c r="O2" s="174"/>
      <c r="P2" s="174"/>
      <c r="Q2" s="174"/>
      <c r="R2" s="174"/>
    </row>
    <row r="3" spans="2:18" ht="15" customHeight="1" thickTop="1" x14ac:dyDescent="0.2">
      <c r="B3" s="128" t="str">
        <f>Tooltype</f>
        <v>Freshwater calculator tool</v>
      </c>
      <c r="C3" s="3"/>
      <c r="D3" s="3"/>
      <c r="E3" s="3"/>
      <c r="F3" s="3"/>
      <c r="G3" s="3"/>
      <c r="H3" s="3"/>
      <c r="I3" s="3"/>
      <c r="J3" s="3"/>
      <c r="K3" s="3"/>
      <c r="L3" s="3"/>
      <c r="M3" s="3"/>
      <c r="N3" s="3"/>
      <c r="O3" s="3"/>
      <c r="P3" s="3"/>
      <c r="Q3" s="3"/>
      <c r="R3" s="3"/>
    </row>
    <row r="4" spans="2:18" ht="15" customHeight="1" thickBot="1" x14ac:dyDescent="0.35">
      <c r="B4" s="176" t="s">
        <v>50</v>
      </c>
      <c r="C4" s="176"/>
      <c r="D4" s="176"/>
      <c r="E4" s="176"/>
      <c r="F4" s="176"/>
      <c r="G4" s="176"/>
      <c r="H4" s="176"/>
      <c r="I4" s="3"/>
      <c r="J4" s="3"/>
      <c r="K4" s="3"/>
      <c r="L4" s="3"/>
      <c r="M4" s="3"/>
      <c r="N4" s="3"/>
      <c r="O4" s="3"/>
      <c r="P4" s="3"/>
      <c r="Q4" s="3"/>
      <c r="R4" s="3"/>
    </row>
    <row r="5" spans="2:18" ht="15" customHeight="1" thickTop="1" x14ac:dyDescent="0.2">
      <c r="B5" s="3"/>
      <c r="C5" s="3"/>
      <c r="D5" s="3"/>
      <c r="E5" s="3"/>
      <c r="F5" s="3"/>
      <c r="G5" s="3"/>
      <c r="H5" s="3"/>
      <c r="I5" s="3"/>
      <c r="J5" s="3"/>
      <c r="K5" s="3"/>
      <c r="L5" s="3"/>
      <c r="M5" s="3"/>
      <c r="N5" s="3"/>
      <c r="O5" s="3"/>
      <c r="P5" s="3"/>
      <c r="Q5" s="3"/>
      <c r="R5" s="3"/>
    </row>
    <row r="6" spans="2:18" ht="15" customHeight="1" x14ac:dyDescent="0.2">
      <c r="B6" s="3" t="s">
        <v>70</v>
      </c>
      <c r="C6" s="3"/>
      <c r="D6" s="3"/>
      <c r="E6" s="3"/>
      <c r="F6" s="3"/>
      <c r="G6" s="56">
        <v>2.5</v>
      </c>
      <c r="H6" s="29" t="s">
        <v>184</v>
      </c>
      <c r="I6" s="3"/>
      <c r="J6" s="3"/>
      <c r="K6" s="3"/>
      <c r="L6" s="3"/>
      <c r="M6" s="3"/>
      <c r="N6" s="3"/>
      <c r="O6" s="3"/>
      <c r="P6" s="3"/>
      <c r="Q6" s="3"/>
      <c r="R6" s="3"/>
    </row>
    <row r="7" spans="2:18" ht="15" customHeight="1" x14ac:dyDescent="0.2">
      <c r="B7" s="3" t="s">
        <v>55</v>
      </c>
      <c r="C7" s="3"/>
      <c r="D7" s="3"/>
      <c r="E7" s="3"/>
      <c r="F7" s="3"/>
      <c r="G7" s="3">
        <f>Average_biocide_release_over_the_lifetime_of_the_paint_M</f>
        <v>0</v>
      </c>
      <c r="H7" s="29" t="s">
        <v>184</v>
      </c>
      <c r="I7" s="3"/>
      <c r="J7" s="3"/>
      <c r="K7" s="3"/>
      <c r="L7" s="3"/>
      <c r="M7" s="3"/>
      <c r="N7" s="3"/>
      <c r="O7" s="3"/>
      <c r="P7" s="3"/>
      <c r="Q7" s="3"/>
      <c r="R7" s="3"/>
    </row>
    <row r="8" spans="2:18" ht="15" customHeight="1" x14ac:dyDescent="0.2">
      <c r="B8" s="3" t="s">
        <v>56</v>
      </c>
      <c r="C8" s="3"/>
      <c r="D8" s="3"/>
      <c r="E8" s="3"/>
      <c r="F8" s="3"/>
      <c r="G8" s="38" t="e">
        <f>Average_biocide_release_over_the_lifetime_of_the_paint_C</f>
        <v>#DIV/0!</v>
      </c>
      <c r="H8" s="29" t="s">
        <v>184</v>
      </c>
      <c r="I8" s="3"/>
      <c r="J8" s="3"/>
      <c r="K8" s="3"/>
      <c r="L8" s="3"/>
      <c r="M8" s="3"/>
      <c r="N8" s="3"/>
      <c r="O8" s="3"/>
      <c r="P8" s="3"/>
      <c r="Q8" s="3"/>
      <c r="R8" s="3"/>
    </row>
    <row r="9" spans="2:18" ht="15" customHeight="1" x14ac:dyDescent="0.2">
      <c r="B9" s="3" t="s">
        <v>54</v>
      </c>
      <c r="C9" s="3"/>
      <c r="D9" s="3"/>
      <c r="E9" s="3"/>
      <c r="F9" s="3"/>
      <c r="G9" s="42">
        <f>IF(ISBLANK(Average_biocide_release_over_the_lifetime_of_the_paint_M),1,0)</f>
        <v>1</v>
      </c>
      <c r="H9" s="29"/>
      <c r="I9" s="3"/>
      <c r="J9" s="3"/>
      <c r="K9" s="3"/>
      <c r="L9" s="3"/>
      <c r="M9" s="3"/>
      <c r="N9" s="3"/>
      <c r="O9" s="3"/>
      <c r="P9" s="3"/>
      <c r="Q9" s="3"/>
      <c r="R9" s="3"/>
    </row>
    <row r="10" spans="2:18" ht="15" customHeight="1" x14ac:dyDescent="0.2">
      <c r="B10" s="3" t="s">
        <v>53</v>
      </c>
      <c r="C10" s="3"/>
      <c r="D10" s="3"/>
      <c r="E10" s="3"/>
      <c r="F10" s="3"/>
      <c r="G10" s="38" t="e">
        <f>IF((G9&lt;1),Average_biocide_release_over_the_lifetime_of_the_paint_M,Average_biocide_release_over_the_lifetime_of_the_paint_C)</f>
        <v>#DIV/0!</v>
      </c>
      <c r="H10" s="29" t="s">
        <v>184</v>
      </c>
      <c r="I10" s="3"/>
      <c r="J10" s="3"/>
      <c r="K10" s="3"/>
      <c r="L10" s="3"/>
      <c r="M10" s="3"/>
      <c r="N10" s="3"/>
      <c r="O10" s="3"/>
      <c r="P10" s="3"/>
      <c r="Q10" s="3"/>
      <c r="R10" s="3"/>
    </row>
    <row r="11" spans="2:18" ht="15" customHeight="1" x14ac:dyDescent="0.2">
      <c r="B11" s="3" t="s">
        <v>51</v>
      </c>
      <c r="C11" s="3"/>
      <c r="D11" s="3"/>
      <c r="E11" s="3"/>
      <c r="F11" s="3"/>
      <c r="G11" s="38" t="e">
        <f>G10/G6</f>
        <v>#DIV/0!</v>
      </c>
      <c r="H11" s="3" t="s">
        <v>2</v>
      </c>
      <c r="I11" s="3"/>
      <c r="J11" s="3"/>
      <c r="K11" s="3"/>
      <c r="L11" s="3"/>
      <c r="M11" s="3"/>
      <c r="N11" s="3"/>
      <c r="O11" s="3"/>
      <c r="P11" s="3"/>
      <c r="Q11" s="3"/>
      <c r="R11" s="3"/>
    </row>
    <row r="12" spans="2:18" ht="15" customHeight="1" x14ac:dyDescent="0.2">
      <c r="B12" s="3"/>
      <c r="C12" s="3"/>
      <c r="D12" s="3"/>
      <c r="E12" s="3"/>
      <c r="F12" s="3"/>
      <c r="G12" s="38"/>
      <c r="H12" s="3"/>
      <c r="I12" s="3"/>
      <c r="J12" s="3"/>
      <c r="K12" s="3"/>
      <c r="L12" s="3"/>
      <c r="M12" s="3"/>
      <c r="N12" s="3"/>
      <c r="O12" s="3"/>
      <c r="P12" s="3"/>
      <c r="Q12" s="3"/>
      <c r="R12" s="3"/>
    </row>
    <row r="13" spans="2:18" ht="15" customHeight="1" thickBot="1" x14ac:dyDescent="0.35">
      <c r="B13" s="176" t="s">
        <v>69</v>
      </c>
      <c r="C13" s="176"/>
      <c r="D13" s="176"/>
      <c r="E13" s="176"/>
      <c r="F13" s="176"/>
      <c r="G13" s="176"/>
      <c r="H13" s="176"/>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76</v>
      </c>
      <c r="C15" s="3"/>
      <c r="D15" s="3"/>
      <c r="E15" s="3"/>
      <c r="F15" s="3"/>
      <c r="G15" s="139">
        <v>0.9</v>
      </c>
      <c r="H15" s="3"/>
      <c r="I15" s="3"/>
      <c r="J15" s="3"/>
      <c r="K15" s="3"/>
      <c r="L15" s="3"/>
      <c r="M15" s="3"/>
      <c r="N15" s="3"/>
      <c r="O15" s="3"/>
      <c r="P15" s="3"/>
      <c r="Q15" s="3"/>
      <c r="R15" s="3"/>
    </row>
    <row r="16" spans="2:18" ht="15" customHeight="1" x14ac:dyDescent="0.2">
      <c r="B16" s="3" t="s">
        <v>71</v>
      </c>
      <c r="C16" s="3"/>
      <c r="D16" s="3"/>
      <c r="E16" s="3"/>
      <c r="F16" s="3"/>
      <c r="G16" s="38">
        <f>Application_Factor</f>
        <v>0.9</v>
      </c>
      <c r="H16" s="3"/>
      <c r="I16" s="3"/>
      <c r="J16" s="3"/>
      <c r="K16" s="3"/>
      <c r="L16" s="3"/>
      <c r="M16" s="3"/>
      <c r="N16" s="3"/>
      <c r="O16" s="3"/>
      <c r="P16" s="3"/>
      <c r="Q16" s="3"/>
      <c r="R16" s="3"/>
    </row>
    <row r="17" spans="2:22" ht="15" customHeight="1" x14ac:dyDescent="0.2">
      <c r="B17" s="3" t="s">
        <v>51</v>
      </c>
      <c r="C17" s="3"/>
      <c r="D17" s="3"/>
      <c r="E17" s="3"/>
      <c r="F17" s="3"/>
      <c r="G17" s="38">
        <f>G16/G15</f>
        <v>1</v>
      </c>
      <c r="H17" s="53"/>
      <c r="I17" s="3"/>
      <c r="J17" s="3"/>
      <c r="K17" s="3"/>
      <c r="L17" s="3"/>
      <c r="M17" s="3"/>
      <c r="N17" s="3"/>
      <c r="O17" s="3"/>
      <c r="P17" s="3"/>
      <c r="Q17" s="3"/>
      <c r="R17" s="3"/>
    </row>
    <row r="18" spans="2:22" ht="15" customHeight="1" x14ac:dyDescent="0.2"/>
    <row r="19" spans="2:22" ht="15" x14ac:dyDescent="0.2">
      <c r="B19" s="94" t="s">
        <v>107</v>
      </c>
      <c r="C19" s="94"/>
      <c r="D19" s="94"/>
      <c r="E19" s="94"/>
      <c r="F19" s="94"/>
      <c r="G19" s="94"/>
      <c r="H19" s="94"/>
      <c r="I19" s="94"/>
      <c r="J19" s="94"/>
      <c r="K19" s="94"/>
      <c r="L19" s="94"/>
      <c r="M19" s="94"/>
      <c r="N19" s="94"/>
      <c r="O19" s="94"/>
      <c r="P19" s="94"/>
      <c r="Q19" s="94"/>
      <c r="R19" s="94"/>
      <c r="S19" s="94"/>
      <c r="T19" s="94"/>
      <c r="U19" s="93"/>
      <c r="V19" s="93"/>
    </row>
    <row r="20" spans="2:22" ht="95.1" customHeight="1" x14ac:dyDescent="0.2">
      <c r="B20" s="103" t="s">
        <v>10</v>
      </c>
      <c r="C20" s="103" t="s">
        <v>12</v>
      </c>
      <c r="D20" s="102" t="s">
        <v>77</v>
      </c>
      <c r="E20" s="14" t="s">
        <v>223</v>
      </c>
      <c r="F20" s="14" t="s">
        <v>224</v>
      </c>
      <c r="G20" s="14" t="s">
        <v>190</v>
      </c>
      <c r="H20" s="14" t="s">
        <v>225</v>
      </c>
      <c r="I20" s="14" t="s">
        <v>178</v>
      </c>
      <c r="J20" s="14" t="s">
        <v>226</v>
      </c>
      <c r="K20" s="14" t="s">
        <v>179</v>
      </c>
      <c r="L20" s="14" t="s">
        <v>227</v>
      </c>
      <c r="M20" s="13" t="s">
        <v>183</v>
      </c>
      <c r="N20" s="13" t="s">
        <v>182</v>
      </c>
      <c r="O20" s="13" t="s">
        <v>181</v>
      </c>
      <c r="P20" s="13" t="s">
        <v>191</v>
      </c>
      <c r="Q20" s="102" t="s">
        <v>61</v>
      </c>
      <c r="R20" s="102" t="s">
        <v>62</v>
      </c>
      <c r="S20" s="102" t="s">
        <v>63</v>
      </c>
      <c r="T20" s="102" t="s">
        <v>64</v>
      </c>
    </row>
    <row r="21" spans="2:22" ht="15" customHeight="1" x14ac:dyDescent="0.2">
      <c r="B21" s="104" t="s">
        <v>174</v>
      </c>
      <c r="C21" s="104" t="str">
        <f>Compound_Name</f>
        <v>Tolylfluanid</v>
      </c>
      <c r="D21" s="59">
        <v>100</v>
      </c>
      <c r="E21" s="105">
        <v>0.50217563569545698</v>
      </c>
      <c r="F21" s="105">
        <v>3.2120886547490998E-2</v>
      </c>
      <c r="G21" s="105">
        <v>1.3138112082363801E-4</v>
      </c>
      <c r="H21" s="105">
        <v>8.4035898233025808E-6</v>
      </c>
      <c r="I21" s="106" t="e">
        <f t="shared" ref="I21:L22" si="0">((E21/100)*$D21)*(O_Leaching_Conversion_Factor*O_Application_Conversion_Factor)+Background_SW_Freshwater</f>
        <v>#DIV/0!</v>
      </c>
      <c r="J21" s="106" t="e">
        <f t="shared" si="0"/>
        <v>#DIV/0!</v>
      </c>
      <c r="K21" s="106" t="e">
        <f t="shared" si="0"/>
        <v>#DIV/0!</v>
      </c>
      <c r="L21" s="106" t="e">
        <f t="shared" si="0"/>
        <v>#DIV/0!</v>
      </c>
      <c r="M21" s="132">
        <f>PNEC_Aquatic_Inside</f>
        <v>0.26500000000000001</v>
      </c>
      <c r="N21" s="132">
        <f>PNEC_Sediment_Inside</f>
        <v>0</v>
      </c>
      <c r="O21" s="132">
        <f>PNEC_Aquatic_Surrounding</f>
        <v>0.26500000000000001</v>
      </c>
      <c r="P21" s="132">
        <f>PNEC_Sediment_Surrounding</f>
        <v>0</v>
      </c>
      <c r="Q21" s="106" t="e">
        <f>I21/PNEC_Aquatic_Inside</f>
        <v>#DIV/0!</v>
      </c>
      <c r="R21" s="106" t="e">
        <f>J21/PNEC_Sediment_Inside</f>
        <v>#DIV/0!</v>
      </c>
      <c r="S21" s="106" t="e">
        <f>K21/PNEC_Aquatic_Surrounding</f>
        <v>#DIV/0!</v>
      </c>
      <c r="T21" s="106" t="e">
        <f>L21/PNEC_Sediment_Surrounding</f>
        <v>#DIV/0!</v>
      </c>
    </row>
    <row r="22" spans="2:22" ht="15" customHeight="1" x14ac:dyDescent="0.2">
      <c r="B22" s="104" t="s">
        <v>175</v>
      </c>
      <c r="C22" s="104" t="str">
        <f>Compound_Name</f>
        <v>Tolylfluanid</v>
      </c>
      <c r="D22" s="59">
        <v>100</v>
      </c>
      <c r="E22" s="105">
        <v>1.02916324988008</v>
      </c>
      <c r="F22" s="105">
        <v>0.152640590928495</v>
      </c>
      <c r="G22" s="105">
        <v>2.3886095700625799E-3</v>
      </c>
      <c r="H22" s="105">
        <v>3.54267191179076E-4</v>
      </c>
      <c r="I22" s="106" t="e">
        <f t="shared" si="0"/>
        <v>#DIV/0!</v>
      </c>
      <c r="J22" s="106" t="e">
        <f t="shared" si="0"/>
        <v>#DIV/0!</v>
      </c>
      <c r="K22" s="106" t="e">
        <f t="shared" si="0"/>
        <v>#DIV/0!</v>
      </c>
      <c r="L22" s="106" t="e">
        <f t="shared" si="0"/>
        <v>#DIV/0!</v>
      </c>
      <c r="M22" s="132">
        <f>PNEC_Aquatic_Inside</f>
        <v>0.26500000000000001</v>
      </c>
      <c r="N22" s="132">
        <f>PNEC_Sediment_Inside</f>
        <v>0</v>
      </c>
      <c r="O22" s="132">
        <f>PNEC_Aquatic_Surrounding</f>
        <v>0.26500000000000001</v>
      </c>
      <c r="P22" s="132">
        <f>PNEC_Sediment_Surrounding</f>
        <v>0</v>
      </c>
      <c r="Q22" s="106" t="e">
        <f>I22/PNEC_Aquatic_Inside</f>
        <v>#DIV/0!</v>
      </c>
      <c r="R22" s="106" t="e">
        <f>J22/PNEC_Sediment_Inside</f>
        <v>#DIV/0!</v>
      </c>
      <c r="S22" s="106" t="e">
        <f>K22/PNEC_Aquatic_Surrounding</f>
        <v>#DIV/0!</v>
      </c>
      <c r="T22" s="106" t="e">
        <f>L22/PNEC_Sediment_Surrounding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Z27"/>
  <sheetViews>
    <sheetView zoomScale="90" zoomScaleNormal="90" workbookViewId="0"/>
  </sheetViews>
  <sheetFormatPr defaultRowHeight="12.75" x14ac:dyDescent="0.2"/>
  <cols>
    <col min="1" max="1" width="9" style="3"/>
    <col min="2" max="2" width="23.125" style="3" customWidth="1"/>
    <col min="3" max="16384" width="9" style="3"/>
  </cols>
  <sheetData>
    <row r="2" spans="2:26" ht="21" customHeight="1" thickBot="1" x14ac:dyDescent="0.25">
      <c r="B2" s="144" t="s">
        <v>185</v>
      </c>
      <c r="C2" s="144"/>
      <c r="D2" s="144"/>
      <c r="E2" s="144"/>
      <c r="F2" s="144"/>
      <c r="G2" s="144"/>
      <c r="H2" s="144"/>
      <c r="I2" s="144"/>
      <c r="J2" s="144"/>
    </row>
    <row r="3" spans="2:26" ht="13.5" thickTop="1" x14ac:dyDescent="0.2">
      <c r="B3" s="128" t="str">
        <f>Tooltype</f>
        <v>Freshwater calculator tool</v>
      </c>
    </row>
    <row r="5" spans="2:26" ht="27.95" customHeight="1" x14ac:dyDescent="0.2">
      <c r="B5" s="145" t="s">
        <v>233</v>
      </c>
      <c r="C5" s="145"/>
      <c r="D5" s="145"/>
      <c r="E5" s="145"/>
      <c r="F5" s="145"/>
      <c r="G5" s="145"/>
      <c r="H5" s="145"/>
      <c r="I5" s="145"/>
      <c r="J5" s="145"/>
      <c r="K5" s="145"/>
      <c r="L5" s="145"/>
      <c r="M5" s="145"/>
      <c r="N5" s="145"/>
      <c r="O5" s="145"/>
      <c r="P5" s="145"/>
      <c r="Q5" s="145"/>
      <c r="R5" s="145"/>
      <c r="S5" s="145"/>
      <c r="T5" s="145"/>
      <c r="U5" s="145"/>
      <c r="V5" s="145"/>
      <c r="W5" s="145"/>
      <c r="X5" s="145"/>
      <c r="Y5" s="145"/>
      <c r="Z5" s="145"/>
    </row>
    <row r="6" spans="2:26" x14ac:dyDescent="0.2">
      <c r="B6" s="145"/>
      <c r="C6" s="145"/>
      <c r="D6" s="145"/>
      <c r="E6" s="145"/>
      <c r="F6" s="145"/>
      <c r="G6" s="145"/>
      <c r="H6" s="145"/>
      <c r="I6" s="145"/>
      <c r="J6" s="145"/>
      <c r="K6" s="145"/>
      <c r="L6" s="145"/>
      <c r="M6" s="145"/>
      <c r="N6" s="145"/>
      <c r="O6" s="145"/>
      <c r="P6" s="145"/>
      <c r="Q6" s="145"/>
      <c r="R6" s="145"/>
      <c r="S6" s="145"/>
      <c r="T6" s="145"/>
      <c r="U6" s="145"/>
      <c r="V6" s="145"/>
      <c r="W6" s="145"/>
      <c r="X6" s="145"/>
      <c r="Y6" s="145"/>
      <c r="Z6" s="145"/>
    </row>
    <row r="7" spans="2:26" x14ac:dyDescent="0.2">
      <c r="B7" s="145" t="s">
        <v>234</v>
      </c>
      <c r="C7" s="145"/>
      <c r="D7" s="145"/>
      <c r="E7" s="145"/>
      <c r="F7" s="145"/>
      <c r="G7" s="145"/>
      <c r="H7" s="145"/>
      <c r="I7" s="145"/>
      <c r="J7" s="145"/>
      <c r="K7" s="145"/>
      <c r="L7" s="145"/>
      <c r="M7" s="145"/>
      <c r="N7" s="145"/>
      <c r="O7" s="145"/>
      <c r="P7" s="145"/>
      <c r="Q7" s="145"/>
      <c r="R7" s="145"/>
      <c r="S7" s="145"/>
      <c r="T7" s="145"/>
      <c r="U7" s="145"/>
      <c r="V7" s="145"/>
      <c r="W7" s="145"/>
      <c r="X7" s="145"/>
      <c r="Y7" s="145"/>
      <c r="Z7" s="145"/>
    </row>
    <row r="8" spans="2:26" x14ac:dyDescent="0.2">
      <c r="B8" s="145"/>
      <c r="C8" s="145"/>
      <c r="D8" s="145"/>
      <c r="E8" s="145"/>
      <c r="F8" s="145"/>
      <c r="G8" s="145"/>
      <c r="H8" s="145"/>
      <c r="I8" s="145"/>
      <c r="J8" s="145"/>
      <c r="K8" s="145"/>
      <c r="L8" s="145"/>
      <c r="M8" s="145"/>
      <c r="N8" s="145"/>
      <c r="O8" s="145"/>
      <c r="P8" s="145"/>
      <c r="Q8" s="145"/>
      <c r="R8" s="145"/>
      <c r="S8" s="145"/>
      <c r="T8" s="145"/>
      <c r="U8" s="145"/>
      <c r="V8" s="145"/>
      <c r="W8" s="145"/>
      <c r="X8" s="145"/>
      <c r="Y8" s="145"/>
      <c r="Z8" s="145"/>
    </row>
    <row r="9" spans="2:26" x14ac:dyDescent="0.2">
      <c r="B9" s="145" t="s">
        <v>235</v>
      </c>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2:26" x14ac:dyDescent="0.2">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row>
    <row r="11" spans="2:26" ht="27.95" customHeight="1" x14ac:dyDescent="0.2">
      <c r="B11" s="145" t="s">
        <v>245</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row>
    <row r="12" spans="2:26" x14ac:dyDescent="0.2">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row>
    <row r="13" spans="2:26" ht="27.95" customHeight="1" x14ac:dyDescent="0.2">
      <c r="B13" s="145" t="s">
        <v>246</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row>
    <row r="14" spans="2:26" x14ac:dyDescent="0.2">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row>
    <row r="15" spans="2:26" ht="27.95" customHeight="1" x14ac:dyDescent="0.2">
      <c r="B15" s="145" t="s">
        <v>247</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row>
    <row r="16" spans="2:26" x14ac:dyDescent="0.2">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row>
    <row r="17" spans="2:26" ht="27.95" customHeight="1" x14ac:dyDescent="0.2">
      <c r="B17" s="145" t="s">
        <v>236</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2:26" x14ac:dyDescent="0.2">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row>
    <row r="19" spans="2:26" ht="27.95" customHeight="1" x14ac:dyDescent="0.2">
      <c r="B19" s="145" t="s">
        <v>237</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row>
    <row r="20" spans="2:26" x14ac:dyDescent="0.2">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row>
    <row r="21" spans="2:26" ht="27.95" customHeight="1" x14ac:dyDescent="0.2">
      <c r="B21" s="145" t="s">
        <v>238</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row>
    <row r="22" spans="2:26" x14ac:dyDescent="0.2">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row>
    <row r="23" spans="2:26" ht="27.95" customHeight="1" x14ac:dyDescent="0.2">
      <c r="B23" s="145" t="s">
        <v>239</v>
      </c>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row>
    <row r="24" spans="2:26" x14ac:dyDescent="0.2">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row>
    <row r="25" spans="2:26" x14ac:dyDescent="0.2">
      <c r="B25" s="145" t="s">
        <v>240</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row>
    <row r="26" spans="2:26" x14ac:dyDescent="0.2">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row>
    <row r="27" spans="2:26" ht="27.95" customHeight="1" x14ac:dyDescent="0.2">
      <c r="B27" s="145" t="s">
        <v>241</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row>
  </sheetData>
  <mergeCells count="24">
    <mergeCell ref="B19:Z19"/>
    <mergeCell ref="B20:Z20"/>
    <mergeCell ref="B21:Z21"/>
    <mergeCell ref="B27:Z27"/>
    <mergeCell ref="B22:Z22"/>
    <mergeCell ref="B23:Z23"/>
    <mergeCell ref="B24:Z24"/>
    <mergeCell ref="B25:Z25"/>
    <mergeCell ref="B26:Z26"/>
    <mergeCell ref="B14:Z14"/>
    <mergeCell ref="B15:Z15"/>
    <mergeCell ref="B16:Z16"/>
    <mergeCell ref="B17:Z17"/>
    <mergeCell ref="B18:Z18"/>
    <mergeCell ref="B9:Z9"/>
    <mergeCell ref="B10:Z10"/>
    <mergeCell ref="B11:Z11"/>
    <mergeCell ref="B12:Z12"/>
    <mergeCell ref="B13:Z13"/>
    <mergeCell ref="B2:J2"/>
    <mergeCell ref="B5:Z5"/>
    <mergeCell ref="B6:Z6"/>
    <mergeCell ref="B7:Z7"/>
    <mergeCell ref="B8:Z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5"/>
  <sheetViews>
    <sheetView zoomScale="90" zoomScaleNormal="90" workbookViewId="0"/>
  </sheetViews>
  <sheetFormatPr defaultRowHeight="12.75" x14ac:dyDescent="0.2"/>
  <cols>
    <col min="1" max="1" width="9" style="3"/>
    <col min="2" max="2" width="64.375" style="3" customWidth="1"/>
    <col min="3" max="16384" width="9" style="3"/>
  </cols>
  <sheetData>
    <row r="2" spans="2:17" ht="21" thickBot="1" x14ac:dyDescent="0.25">
      <c r="B2" s="146" t="s">
        <v>105</v>
      </c>
      <c r="C2" s="146"/>
      <c r="D2" s="146"/>
      <c r="E2" s="146"/>
      <c r="F2" s="146"/>
      <c r="G2" s="146"/>
      <c r="H2" s="146"/>
      <c r="I2" s="146"/>
      <c r="J2" s="146"/>
      <c r="K2" s="146"/>
      <c r="L2" s="146"/>
      <c r="M2" s="146"/>
      <c r="N2" s="5"/>
      <c r="O2" s="5"/>
      <c r="P2" s="5"/>
    </row>
    <row r="3" spans="2:17" ht="13.5" thickTop="1" x14ac:dyDescent="0.2">
      <c r="B3" s="128" t="str">
        <f>Tooltype</f>
        <v>Freshwater calculator tool</v>
      </c>
      <c r="C3" s="66"/>
      <c r="D3" s="66"/>
      <c r="E3" s="66"/>
      <c r="F3" s="66"/>
      <c r="G3" s="66"/>
      <c r="H3" s="66"/>
      <c r="I3" s="66"/>
      <c r="J3" s="66"/>
      <c r="K3" s="66"/>
      <c r="L3" s="66"/>
      <c r="M3" s="66"/>
      <c r="N3" s="66"/>
      <c r="O3" s="66"/>
      <c r="P3" s="66"/>
      <c r="Q3" s="66"/>
    </row>
    <row r="4" spans="2:17" ht="18" x14ac:dyDescent="0.2">
      <c r="B4" s="1" t="s">
        <v>8</v>
      </c>
      <c r="C4" s="66"/>
      <c r="D4" s="66"/>
      <c r="E4" s="66"/>
      <c r="F4" s="66"/>
      <c r="G4" s="66"/>
      <c r="H4" s="66"/>
      <c r="I4" s="66"/>
      <c r="J4" s="66"/>
      <c r="K4" s="66"/>
      <c r="L4" s="66"/>
      <c r="M4" s="66"/>
      <c r="N4" s="66"/>
      <c r="O4" s="66"/>
      <c r="P4" s="66"/>
      <c r="Q4" s="66"/>
    </row>
    <row r="5" spans="2:17" ht="12.75" customHeight="1" x14ac:dyDescent="0.2">
      <c r="B5" s="5"/>
      <c r="C5" s="5"/>
      <c r="D5" s="5"/>
      <c r="E5" s="5"/>
      <c r="F5" s="5"/>
      <c r="G5" s="5"/>
      <c r="H5" s="5"/>
      <c r="I5" s="5"/>
      <c r="J5" s="5"/>
      <c r="K5" s="5"/>
      <c r="L5" s="5"/>
      <c r="M5" s="5"/>
      <c r="N5" s="5"/>
      <c r="O5" s="5"/>
      <c r="P5" s="5"/>
    </row>
    <row r="6" spans="2:17" ht="12.75" customHeight="1" x14ac:dyDescent="0.2">
      <c r="B6" s="86" t="s">
        <v>94</v>
      </c>
      <c r="C6" s="87"/>
      <c r="D6" s="5"/>
      <c r="E6" s="5"/>
      <c r="F6" s="5"/>
      <c r="G6" s="5"/>
      <c r="H6" s="5"/>
      <c r="I6" s="5"/>
      <c r="J6" s="5"/>
      <c r="K6" s="5"/>
      <c r="L6" s="5"/>
      <c r="M6" s="5"/>
      <c r="N6" s="5"/>
      <c r="O6" s="5"/>
      <c r="P6" s="5"/>
    </row>
    <row r="7" spans="2:17" ht="12.75" customHeight="1" x14ac:dyDescent="0.2">
      <c r="B7" s="86"/>
      <c r="C7" s="87"/>
      <c r="D7" s="5"/>
      <c r="E7" s="5"/>
      <c r="F7" s="5"/>
      <c r="G7" s="5"/>
      <c r="H7" s="5"/>
      <c r="I7" s="5"/>
      <c r="J7" s="5"/>
      <c r="K7" s="5"/>
      <c r="L7" s="5"/>
      <c r="M7" s="5"/>
      <c r="N7" s="5"/>
      <c r="O7" s="5"/>
      <c r="P7" s="5"/>
    </row>
    <row r="8" spans="2:17" ht="12.75" customHeight="1" x14ac:dyDescent="0.2">
      <c r="B8" s="87" t="s">
        <v>95</v>
      </c>
      <c r="C8" s="5"/>
      <c r="D8" s="5"/>
      <c r="E8" s="5"/>
      <c r="F8" s="5"/>
      <c r="G8" s="5"/>
      <c r="H8" s="5"/>
      <c r="I8" s="5"/>
      <c r="J8" s="5"/>
      <c r="K8" s="5"/>
      <c r="L8" s="5"/>
      <c r="M8" s="5"/>
      <c r="N8" s="5"/>
      <c r="O8" s="5"/>
      <c r="P8" s="5"/>
    </row>
    <row r="9" spans="2:17" ht="12.75" customHeight="1" x14ac:dyDescent="0.2">
      <c r="B9" s="5"/>
      <c r="C9" s="5"/>
      <c r="D9" s="5"/>
      <c r="E9" s="5"/>
      <c r="F9" s="5"/>
      <c r="G9" s="5"/>
      <c r="H9" s="5"/>
      <c r="I9" s="5"/>
      <c r="J9" s="5"/>
      <c r="K9" s="5"/>
      <c r="L9" s="5"/>
      <c r="M9" s="5"/>
      <c r="N9" s="5"/>
      <c r="O9" s="5"/>
      <c r="P9" s="5"/>
    </row>
    <row r="10" spans="2:17" ht="12.75" customHeight="1" x14ac:dyDescent="0.2">
      <c r="B10" s="89" t="s">
        <v>96</v>
      </c>
      <c r="C10" s="88"/>
      <c r="D10" s="88"/>
      <c r="E10" s="88"/>
      <c r="F10" s="88"/>
      <c r="G10" s="88"/>
      <c r="H10" s="88"/>
      <c r="I10" s="88"/>
      <c r="J10" s="88"/>
      <c r="K10" s="88"/>
      <c r="L10" s="88"/>
      <c r="M10" s="88"/>
      <c r="N10" s="88"/>
      <c r="O10" s="88"/>
      <c r="P10" s="88"/>
    </row>
    <row r="11" spans="2:17" ht="12.75" customHeight="1" x14ac:dyDescent="0.2">
      <c r="B11" s="2"/>
      <c r="C11" s="6"/>
      <c r="D11" s="6"/>
      <c r="E11" s="6"/>
      <c r="F11" s="6"/>
      <c r="G11" s="6"/>
      <c r="H11" s="6"/>
      <c r="I11" s="6"/>
      <c r="J11" s="6"/>
      <c r="K11" s="6"/>
      <c r="L11" s="6"/>
      <c r="M11" s="6"/>
      <c r="N11" s="6"/>
      <c r="O11" s="6"/>
      <c r="P11" s="6"/>
    </row>
    <row r="12" spans="2:17" ht="12.75" customHeight="1" x14ac:dyDescent="0.2">
      <c r="B12" s="87" t="s">
        <v>197</v>
      </c>
      <c r="C12" s="6"/>
      <c r="D12" s="6"/>
      <c r="E12" s="6"/>
      <c r="F12" s="6"/>
      <c r="G12" s="6"/>
      <c r="H12" s="6"/>
      <c r="I12" s="6"/>
      <c r="J12" s="6"/>
      <c r="K12" s="6"/>
      <c r="L12" s="6"/>
      <c r="M12" s="6"/>
      <c r="N12" s="6"/>
      <c r="O12" s="6"/>
      <c r="P12" s="6"/>
    </row>
    <row r="13" spans="2:17" ht="12.75" customHeight="1" x14ac:dyDescent="0.2">
      <c r="B13" s="2"/>
      <c r="C13" s="6"/>
      <c r="D13" s="6"/>
      <c r="E13" s="6"/>
      <c r="F13" s="6"/>
      <c r="G13" s="6"/>
      <c r="H13" s="6"/>
      <c r="I13" s="6"/>
      <c r="J13" s="6"/>
      <c r="K13" s="6"/>
      <c r="L13" s="6"/>
      <c r="M13" s="6"/>
      <c r="N13" s="6"/>
      <c r="O13" s="6"/>
      <c r="P13" s="6"/>
    </row>
    <row r="14" spans="2:17" ht="12.75" customHeight="1" x14ac:dyDescent="0.2">
      <c r="B14" s="89" t="s">
        <v>97</v>
      </c>
      <c r="C14" s="88"/>
      <c r="D14" s="88"/>
      <c r="E14" s="88"/>
      <c r="F14" s="88"/>
      <c r="G14" s="88"/>
      <c r="H14" s="88"/>
      <c r="I14" s="88"/>
      <c r="J14" s="88"/>
      <c r="K14" s="88"/>
      <c r="L14" s="88"/>
      <c r="M14" s="88"/>
      <c r="N14" s="88"/>
      <c r="O14" s="88"/>
      <c r="P14" s="88"/>
    </row>
    <row r="15" spans="2:17" ht="12.75" customHeight="1" x14ac:dyDescent="0.2"/>
    <row r="16" spans="2:17" ht="12.75" customHeight="1" x14ac:dyDescent="0.2">
      <c r="B16" s="90" t="s">
        <v>198</v>
      </c>
    </row>
    <row r="17" spans="2:2" ht="12.75" customHeight="1" x14ac:dyDescent="0.2"/>
    <row r="18" spans="2:2" ht="12.75" customHeight="1" x14ac:dyDescent="0.2">
      <c r="B18" s="90" t="s">
        <v>200</v>
      </c>
    </row>
    <row r="19" spans="2:2" ht="12.75" customHeight="1" x14ac:dyDescent="0.2"/>
    <row r="20" spans="2:2" ht="12.75" customHeight="1" x14ac:dyDescent="0.2">
      <c r="B20" s="116" t="s">
        <v>201</v>
      </c>
    </row>
    <row r="21" spans="2:2" ht="12.75" customHeight="1" x14ac:dyDescent="0.2"/>
    <row r="22" spans="2:2" ht="12.75" customHeight="1" x14ac:dyDescent="0.2">
      <c r="B22" s="90" t="s">
        <v>199</v>
      </c>
    </row>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sheetData>
  <mergeCells count="1">
    <mergeCell ref="B2:M2"/>
  </mergeCells>
  <hyperlinks>
    <hyperlink ref="B6" location="' Introduction'!A1" tooltip="Introduction" display="Introduction"/>
    <hyperlink ref="B8" location="Instructions!A1" tooltip="Instructions for users" display="Instructions"/>
    <hyperlink ref="B10" location="User_Input!A1" tooltip="Input of PNECs, background concentration (if applicable), leaching rate and application factor" display="User_Input"/>
    <hyperlink ref="B14" location="'Output_EU marinas'!A1" tooltip="All output compiled" display="Output_Summary"/>
    <hyperlink ref="B12" location="Active_Subst_Input_Parameters!A1" tooltip="Screenshot of active substance parameters used to calculate underlying PEC values" display="Active_Substance_Input_Parameters"/>
    <hyperlink ref="B16" location="'Output_EU marinas'!A1" tooltip="PECs and PNECs for the EU marinas" display="Output EU marinas"/>
    <hyperlink ref="B22" location="OECD_Marina_Calc!A1" tooltip="PEC calculatons for two regulatory scenarios (OECD-CH and NL)" display="OECD_Marina_Calculations"/>
    <hyperlink ref="B18" location="Index!A1" tooltip="PECs and PNECs of two regulatory marinas (OECD-CH and NL)" display="Output_Regulatory Marinas"/>
    <hyperlink ref="B20" location="Index!A1" tooltip="PEC calculations for the EU freshwater marinas" display="EU_Marinas_Scenario_Calcul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79"/>
  <sheetViews>
    <sheetView zoomScale="90" zoomScaleNormal="90" workbookViewId="0"/>
  </sheetViews>
  <sheetFormatPr defaultColWidth="0" defaultRowHeight="12.75"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47" t="s">
        <v>60</v>
      </c>
      <c r="C2" s="147"/>
      <c r="D2" s="147"/>
      <c r="E2" s="147"/>
      <c r="F2" s="147"/>
      <c r="G2" s="147"/>
      <c r="H2" s="147"/>
      <c r="I2" s="147"/>
      <c r="J2" s="147"/>
      <c r="K2" s="147"/>
      <c r="L2" s="147"/>
    </row>
    <row r="3" spans="2:12" ht="13.5" thickTop="1" x14ac:dyDescent="0.2">
      <c r="B3" s="128" t="str">
        <f>Tooltype</f>
        <v>Freshwater calculator tool</v>
      </c>
    </row>
    <row r="4" spans="2:12" ht="12.75" customHeight="1" x14ac:dyDescent="0.2"/>
    <row r="5" spans="2:12" ht="21" thickBot="1" x14ac:dyDescent="0.35">
      <c r="B5" s="133" t="s">
        <v>12</v>
      </c>
      <c r="F5" s="54"/>
      <c r="G5" s="147" t="s">
        <v>68</v>
      </c>
      <c r="H5" s="147"/>
    </row>
    <row r="6" spans="2:12" ht="15" customHeight="1" thickTop="1" x14ac:dyDescent="0.2">
      <c r="B6" s="134" t="str">
        <f>Compound_Name</f>
        <v>Tolylfluanid</v>
      </c>
      <c r="F6" s="54"/>
    </row>
    <row r="7" spans="2:12" ht="12.75" customHeight="1" x14ac:dyDescent="0.2">
      <c r="F7" s="54"/>
      <c r="G7" s="126" t="s">
        <v>68</v>
      </c>
      <c r="H7" s="99">
        <v>0.9</v>
      </c>
    </row>
    <row r="8" spans="2:12" ht="12.75" customHeight="1" x14ac:dyDescent="0.2">
      <c r="B8" s="54"/>
      <c r="C8" s="54"/>
      <c r="D8" s="54"/>
      <c r="E8" s="54"/>
      <c r="F8" s="54"/>
    </row>
    <row r="9" spans="2:12" ht="21" thickBot="1" x14ac:dyDescent="0.35">
      <c r="B9" s="147" t="s">
        <v>59</v>
      </c>
      <c r="C9" s="147"/>
      <c r="D9" s="147"/>
      <c r="E9" s="50"/>
      <c r="G9" s="39" t="s">
        <v>52</v>
      </c>
    </row>
    <row r="10" spans="2:12" ht="12.75" customHeight="1" thickTop="1" thickBot="1" x14ac:dyDescent="0.25">
      <c r="B10" s="54"/>
      <c r="C10" s="54"/>
      <c r="D10" s="54"/>
      <c r="E10" s="54"/>
    </row>
    <row r="11" spans="2:12" ht="26.25" thickBot="1" x14ac:dyDescent="0.25">
      <c r="B11" s="54"/>
      <c r="C11" s="55" t="s">
        <v>72</v>
      </c>
      <c r="D11" s="55" t="s">
        <v>73</v>
      </c>
      <c r="E11" s="54"/>
      <c r="G11" s="40" t="s">
        <v>66</v>
      </c>
      <c r="H11" s="100"/>
      <c r="I11" s="41" t="s">
        <v>168</v>
      </c>
      <c r="J11" s="49" t="s">
        <v>67</v>
      </c>
    </row>
    <row r="12" spans="2:12" x14ac:dyDescent="0.2">
      <c r="B12" s="124" t="s">
        <v>3</v>
      </c>
      <c r="C12" s="123">
        <v>0.26500000000000001</v>
      </c>
      <c r="D12" s="123">
        <v>0.26500000000000001</v>
      </c>
      <c r="E12" s="125" t="s">
        <v>171</v>
      </c>
    </row>
    <row r="13" spans="2:12" x14ac:dyDescent="0.2">
      <c r="B13" s="124" t="s">
        <v>4</v>
      </c>
      <c r="C13" s="123"/>
      <c r="D13" s="123"/>
      <c r="E13" s="125" t="s">
        <v>172</v>
      </c>
    </row>
    <row r="14" spans="2:12" x14ac:dyDescent="0.2"/>
    <row r="15" spans="2:12" ht="21" thickBot="1" x14ac:dyDescent="0.35">
      <c r="B15" s="147" t="s">
        <v>57</v>
      </c>
      <c r="C15" s="147"/>
      <c r="D15" s="147"/>
      <c r="E15" s="50"/>
      <c r="G15" s="47" t="s">
        <v>23</v>
      </c>
      <c r="H15" s="47"/>
      <c r="I15" s="47"/>
      <c r="J15" s="47"/>
      <c r="K15" s="47"/>
      <c r="L15" s="47"/>
    </row>
    <row r="16" spans="2:12" ht="14.25" thickTop="1" thickBot="1" x14ac:dyDescent="0.25">
      <c r="B16" s="48"/>
    </row>
    <row r="17" spans="2:12" ht="18" thickBot="1" x14ac:dyDescent="0.35">
      <c r="B17" s="151" t="s">
        <v>167</v>
      </c>
      <c r="C17" s="151"/>
      <c r="D17" s="151"/>
      <c r="E17" s="51"/>
      <c r="G17" s="44" t="s">
        <v>17</v>
      </c>
      <c r="H17" s="45"/>
      <c r="I17" s="45"/>
      <c r="J17" s="45"/>
      <c r="K17" s="45"/>
      <c r="L17" s="46"/>
    </row>
    <row r="18" spans="2:12" ht="13.5" thickTop="1" x14ac:dyDescent="0.2">
      <c r="B18" s="48"/>
      <c r="G18" s="22"/>
      <c r="H18" s="19"/>
      <c r="I18" s="19"/>
      <c r="J18" s="19"/>
      <c r="K18" s="19"/>
      <c r="L18" s="23"/>
    </row>
    <row r="19" spans="2:12" ht="25.5" x14ac:dyDescent="0.2">
      <c r="B19" s="126" t="s">
        <v>58</v>
      </c>
      <c r="C19" s="99">
        <v>0</v>
      </c>
      <c r="D19" s="117" t="s">
        <v>171</v>
      </c>
      <c r="E19" s="52"/>
      <c r="G19" s="127" t="s">
        <v>18</v>
      </c>
      <c r="H19" s="14" t="s">
        <v>19</v>
      </c>
      <c r="I19" s="14" t="s">
        <v>20</v>
      </c>
      <c r="J19" s="14" t="s">
        <v>21</v>
      </c>
      <c r="K19" s="14" t="s">
        <v>24</v>
      </c>
      <c r="L19" s="15" t="s">
        <v>22</v>
      </c>
    </row>
    <row r="20" spans="2:12" x14ac:dyDescent="0.2">
      <c r="B20" s="126" t="s">
        <v>4</v>
      </c>
      <c r="C20" s="99">
        <v>0</v>
      </c>
      <c r="D20" s="117" t="s">
        <v>172</v>
      </c>
      <c r="E20" s="52"/>
      <c r="G20" s="22"/>
      <c r="H20" s="19"/>
      <c r="I20" s="19"/>
      <c r="J20" s="19"/>
      <c r="K20" s="19"/>
      <c r="L20" s="23"/>
    </row>
    <row r="21" spans="2:12" ht="25.5" x14ac:dyDescent="0.2">
      <c r="B21"/>
      <c r="C21"/>
      <c r="D21"/>
      <c r="E21"/>
      <c r="G21" s="33" t="s">
        <v>25</v>
      </c>
      <c r="H21" s="27" t="s">
        <v>26</v>
      </c>
      <c r="I21" s="43"/>
      <c r="J21" s="29" t="s">
        <v>46</v>
      </c>
      <c r="K21" s="24" t="s">
        <v>48</v>
      </c>
      <c r="L21" s="17"/>
    </row>
    <row r="22" spans="2:12" x14ac:dyDescent="0.2">
      <c r="B22"/>
      <c r="C22"/>
      <c r="D22"/>
      <c r="E22"/>
      <c r="G22" s="33" t="s">
        <v>29</v>
      </c>
      <c r="H22" s="27" t="s">
        <v>27</v>
      </c>
      <c r="I22" s="43"/>
      <c r="J22" s="29" t="s">
        <v>2</v>
      </c>
      <c r="K22" s="24" t="s">
        <v>49</v>
      </c>
      <c r="L22" s="17"/>
    </row>
    <row r="23" spans="2:12" ht="29.25" customHeight="1" x14ac:dyDescent="0.2">
      <c r="B23"/>
      <c r="C23"/>
      <c r="D23"/>
      <c r="E23"/>
      <c r="G23" s="33" t="s">
        <v>30</v>
      </c>
      <c r="H23" s="27" t="s">
        <v>28</v>
      </c>
      <c r="I23" s="43"/>
      <c r="J23" s="29" t="s">
        <v>31</v>
      </c>
      <c r="K23" s="24" t="s">
        <v>49</v>
      </c>
      <c r="L23" s="17"/>
    </row>
    <row r="24" spans="2:12" ht="15" x14ac:dyDescent="0.2">
      <c r="B24"/>
      <c r="C24"/>
      <c r="D24"/>
      <c r="E24"/>
      <c r="G24" s="33" t="s">
        <v>32</v>
      </c>
      <c r="H24" s="28" t="s">
        <v>33</v>
      </c>
      <c r="I24" s="43"/>
      <c r="J24" s="29" t="s">
        <v>170</v>
      </c>
      <c r="K24" s="24" t="s">
        <v>49</v>
      </c>
      <c r="L24" s="17"/>
    </row>
    <row r="25" spans="2:12" x14ac:dyDescent="0.2">
      <c r="B25"/>
      <c r="C25"/>
      <c r="D25"/>
      <c r="E25"/>
      <c r="G25" s="33" t="s">
        <v>40</v>
      </c>
      <c r="H25" s="27" t="s">
        <v>34</v>
      </c>
      <c r="I25" s="43"/>
      <c r="J25" s="29" t="s">
        <v>169</v>
      </c>
      <c r="K25" s="24" t="s">
        <v>49</v>
      </c>
      <c r="L25" s="17"/>
    </row>
    <row r="26" spans="2:12" ht="29.25" customHeight="1" x14ac:dyDescent="0.2">
      <c r="B26"/>
      <c r="C26"/>
      <c r="D26"/>
      <c r="E26"/>
      <c r="G26" s="33" t="s">
        <v>186</v>
      </c>
      <c r="H26" s="27" t="s">
        <v>35</v>
      </c>
      <c r="I26" s="43"/>
      <c r="J26" s="29" t="s">
        <v>43</v>
      </c>
      <c r="K26" s="24" t="s">
        <v>49</v>
      </c>
      <c r="L26" s="17"/>
    </row>
    <row r="27" spans="2:12" x14ac:dyDescent="0.2">
      <c r="B27"/>
      <c r="C27"/>
      <c r="D27"/>
      <c r="E27"/>
      <c r="G27" s="33" t="s">
        <v>41</v>
      </c>
      <c r="H27" s="27" t="s">
        <v>36</v>
      </c>
      <c r="I27" s="43"/>
      <c r="J27" s="29" t="s">
        <v>42</v>
      </c>
      <c r="K27" s="24" t="s">
        <v>49</v>
      </c>
      <c r="L27" s="17"/>
    </row>
    <row r="28" spans="2:12" ht="15.75" thickBot="1" x14ac:dyDescent="0.25">
      <c r="B28"/>
      <c r="C28"/>
      <c r="D28"/>
      <c r="E28"/>
      <c r="G28" s="148" t="s">
        <v>37</v>
      </c>
      <c r="H28" s="149"/>
      <c r="I28" s="149"/>
      <c r="J28" s="149"/>
      <c r="K28" s="149"/>
      <c r="L28" s="150"/>
    </row>
    <row r="29" spans="2:12" ht="54" customHeight="1" thickTop="1" thickBot="1" x14ac:dyDescent="0.3">
      <c r="B29"/>
      <c r="C29"/>
      <c r="D29"/>
      <c r="E29"/>
      <c r="G29" s="33" t="s">
        <v>44</v>
      </c>
      <c r="H29" s="26" t="s">
        <v>38</v>
      </c>
      <c r="I29" s="35" t="e">
        <f>(La*a*Wa*ƿ*DFT)/VS</f>
        <v>#DIV/0!</v>
      </c>
      <c r="J29" s="29" t="s">
        <v>173</v>
      </c>
      <c r="K29" s="24" t="s">
        <v>47</v>
      </c>
      <c r="L29" s="17"/>
    </row>
    <row r="30" spans="2:12" ht="57.75" customHeight="1" thickTop="1" thickBot="1" x14ac:dyDescent="0.25">
      <c r="B30"/>
      <c r="C30"/>
      <c r="D30"/>
      <c r="E30"/>
      <c r="G30" s="32" t="s">
        <v>45</v>
      </c>
      <c r="H30" s="31" t="s">
        <v>39</v>
      </c>
      <c r="I30" s="36" t="e">
        <f>0.0329*(Mrel/t)</f>
        <v>#DIV/0!</v>
      </c>
      <c r="J30" s="30" t="s">
        <v>168</v>
      </c>
      <c r="K30" s="34" t="s">
        <v>47</v>
      </c>
      <c r="L30" s="25"/>
    </row>
    <row r="31" spans="2:12" x14ac:dyDescent="0.2">
      <c r="G31" s="20"/>
      <c r="H31" s="21"/>
    </row>
    <row r="32" spans="2:12" x14ac:dyDescent="0.2">
      <c r="G32" s="20"/>
      <c r="H32" s="21"/>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20"/>
      <c r="C40" s="21"/>
    </row>
    <row r="41" spans="2:7" ht="12.75" hidden="1" customHeight="1" x14ac:dyDescent="0.2">
      <c r="B41" s="20"/>
      <c r="C41" s="21"/>
      <c r="E41" s="48"/>
      <c r="G41" s="48"/>
    </row>
    <row r="42" spans="2:7" ht="12.75" hidden="1" customHeight="1" x14ac:dyDescent="0.2">
      <c r="B42" s="48"/>
      <c r="C42" s="48"/>
      <c r="D42" s="48"/>
      <c r="E42" s="48"/>
      <c r="G42" s="37"/>
    </row>
    <row r="43" spans="2:7" ht="41.25" hidden="1" customHeight="1" x14ac:dyDescent="0.2">
      <c r="B43" s="48"/>
      <c r="C43" s="48"/>
      <c r="D43" s="48"/>
      <c r="F43" s="48"/>
      <c r="G43" s="37"/>
    </row>
    <row r="44" spans="2:7" ht="12.75" hidden="1" customHeight="1" x14ac:dyDescent="0.2">
      <c r="F44" s="37"/>
      <c r="G44" s="37"/>
    </row>
    <row r="45" spans="2:7" ht="12.75" hidden="1" customHeight="1" x14ac:dyDescent="0.2">
      <c r="F45" s="37"/>
      <c r="G45" s="37"/>
    </row>
    <row r="46" spans="2:7" ht="12.75" hidden="1" customHeight="1" x14ac:dyDescent="0.2">
      <c r="E46" s="48"/>
      <c r="F46" s="37"/>
      <c r="G46" s="37"/>
    </row>
    <row r="47" spans="2:7" ht="12.75" hidden="1" customHeight="1" x14ac:dyDescent="0.2">
      <c r="B47" s="48"/>
      <c r="C47" s="48"/>
      <c r="D47" s="48"/>
      <c r="E47" s="48"/>
      <c r="F47" s="37"/>
      <c r="G47" s="37"/>
    </row>
    <row r="48" spans="2:7" ht="12.75" hidden="1" customHeight="1" x14ac:dyDescent="0.2">
      <c r="B48" s="48"/>
      <c r="C48" s="48"/>
      <c r="D48" s="48"/>
      <c r="E48" s="48"/>
      <c r="F48" s="37"/>
      <c r="G48" s="37"/>
    </row>
    <row r="49" spans="2:7" ht="12.75" hidden="1" customHeight="1" x14ac:dyDescent="0.2">
      <c r="B49" s="48"/>
      <c r="C49" s="48"/>
      <c r="D49" s="48"/>
      <c r="E49" s="48"/>
      <c r="F49" s="37"/>
      <c r="G49" s="48"/>
    </row>
    <row r="50" spans="2:7" ht="12.75" hidden="1" customHeight="1" x14ac:dyDescent="0.2">
      <c r="B50" s="48"/>
      <c r="C50" s="48"/>
      <c r="D50" s="48"/>
      <c r="E50" s="48"/>
      <c r="F50" s="37"/>
      <c r="G50" s="37"/>
    </row>
    <row r="51" spans="2:7" ht="12.75" hidden="1" customHeight="1" x14ac:dyDescent="0.2">
      <c r="B51" s="48"/>
      <c r="C51" s="48"/>
      <c r="D51" s="48"/>
      <c r="E51" s="48"/>
      <c r="F51" s="48"/>
      <c r="G51" s="37"/>
    </row>
    <row r="52" spans="2:7" ht="12.75" hidden="1" customHeight="1" x14ac:dyDescent="0.2">
      <c r="B52" s="48"/>
      <c r="C52" s="48"/>
      <c r="D52" s="48"/>
      <c r="E52" s="48"/>
      <c r="F52" s="37"/>
      <c r="G52" s="37"/>
    </row>
    <row r="53" spans="2:7" ht="12.75" hidden="1" customHeight="1" x14ac:dyDescent="0.2">
      <c r="B53" s="48"/>
      <c r="C53" s="48"/>
      <c r="D53" s="48"/>
      <c r="E53" s="48"/>
      <c r="F53" s="37"/>
      <c r="G53" s="37"/>
    </row>
    <row r="54" spans="2:7" ht="12.75" hidden="1" customHeight="1" x14ac:dyDescent="0.2">
      <c r="B54" s="48"/>
      <c r="C54" s="48"/>
      <c r="D54" s="48"/>
      <c r="E54" s="48"/>
      <c r="F54" s="37"/>
      <c r="G54" s="37"/>
    </row>
    <row r="55" spans="2:7" ht="12.75" hidden="1" customHeight="1" x14ac:dyDescent="0.2">
      <c r="B55" s="48"/>
      <c r="C55" s="48"/>
      <c r="D55" s="48"/>
      <c r="E55" s="48"/>
      <c r="F55" s="37"/>
      <c r="G55" s="37"/>
    </row>
    <row r="56" spans="2:7" ht="12.75" hidden="1" customHeight="1" x14ac:dyDescent="0.2">
      <c r="B56" s="48"/>
      <c r="C56" s="48"/>
      <c r="D56" s="48"/>
      <c r="E56" s="48"/>
      <c r="F56" s="37"/>
      <c r="G56" s="37"/>
    </row>
    <row r="57" spans="2:7" ht="12.75" hidden="1" customHeight="1" x14ac:dyDescent="0.2">
      <c r="B57" s="48"/>
      <c r="C57" s="48"/>
      <c r="D57" s="48"/>
      <c r="E57" s="48"/>
      <c r="F57" s="37"/>
      <c r="G57" s="37"/>
    </row>
    <row r="58" spans="2:7" ht="12.75" hidden="1" customHeight="1" x14ac:dyDescent="0.2">
      <c r="B58" s="48"/>
      <c r="C58" s="48"/>
      <c r="D58" s="48"/>
      <c r="E58" s="48"/>
      <c r="F58" s="37"/>
      <c r="G58" s="37"/>
    </row>
    <row r="59" spans="2:7" ht="12.75" hidden="1" customHeight="1" x14ac:dyDescent="0.2">
      <c r="B59" s="48"/>
      <c r="C59" s="48"/>
      <c r="D59" s="48"/>
      <c r="E59" s="48"/>
      <c r="F59" s="37"/>
      <c r="G59" s="37"/>
    </row>
    <row r="60" spans="2:7" ht="12.75" hidden="1" customHeight="1" x14ac:dyDescent="0.2">
      <c r="B60" s="48"/>
      <c r="C60" s="48"/>
      <c r="D60" s="48"/>
      <c r="E60" s="48"/>
      <c r="F60" s="37"/>
      <c r="G60" s="48"/>
    </row>
    <row r="61" spans="2:7" ht="12.75" hidden="1" customHeight="1" x14ac:dyDescent="0.2">
      <c r="B61" s="48"/>
      <c r="C61" s="48"/>
      <c r="D61" s="48"/>
      <c r="E61" s="48"/>
      <c r="F61" s="37"/>
      <c r="G61" s="37"/>
    </row>
    <row r="62" spans="2:7" ht="12.75" hidden="1" customHeight="1" x14ac:dyDescent="0.2">
      <c r="B62" s="48"/>
      <c r="C62" s="48"/>
      <c r="D62" s="48"/>
      <c r="E62" s="48"/>
      <c r="F62" s="48"/>
      <c r="G62" s="37"/>
    </row>
    <row r="63" spans="2:7" ht="12.75" hidden="1" customHeight="1" x14ac:dyDescent="0.2">
      <c r="B63" s="48"/>
      <c r="C63" s="48"/>
      <c r="D63" s="48"/>
      <c r="E63" s="48"/>
      <c r="F63" s="37"/>
      <c r="G63" s="37"/>
    </row>
    <row r="64" spans="2:7" ht="12.75" hidden="1" customHeight="1" x14ac:dyDescent="0.2">
      <c r="B64" s="48"/>
      <c r="C64" s="48"/>
      <c r="D64" s="48"/>
      <c r="E64" s="48"/>
      <c r="F64" s="37"/>
      <c r="G64" s="37"/>
    </row>
    <row r="65" spans="2:7" ht="12.75" hidden="1" customHeight="1" x14ac:dyDescent="0.2">
      <c r="B65" s="48"/>
      <c r="C65" s="48"/>
      <c r="D65" s="48"/>
      <c r="E65" s="48"/>
      <c r="F65" s="37"/>
      <c r="G65" s="37"/>
    </row>
    <row r="66" spans="2:7" ht="12.75" hidden="1" customHeight="1" x14ac:dyDescent="0.2">
      <c r="B66" s="48"/>
      <c r="C66" s="48"/>
      <c r="D66" s="48"/>
      <c r="E66" s="48"/>
      <c r="F66" s="37"/>
      <c r="G66" s="37"/>
    </row>
    <row r="67" spans="2:7" ht="12.75" hidden="1" customHeight="1" x14ac:dyDescent="0.2">
      <c r="B67" s="48"/>
      <c r="C67" s="48"/>
      <c r="D67" s="48"/>
      <c r="E67" s="48"/>
      <c r="F67" s="37"/>
      <c r="G67" s="37"/>
    </row>
    <row r="68" spans="2:7" ht="12.75" hidden="1" customHeight="1" x14ac:dyDescent="0.2">
      <c r="B68" s="48"/>
      <c r="C68" s="48"/>
      <c r="D68" s="48"/>
      <c r="E68" s="48"/>
      <c r="F68" s="37"/>
      <c r="G68" s="37"/>
    </row>
    <row r="69" spans="2:7" ht="12.75" hidden="1" customHeight="1" x14ac:dyDescent="0.2">
      <c r="B69" s="48"/>
      <c r="C69" s="48"/>
      <c r="D69" s="48"/>
      <c r="F69" s="37"/>
    </row>
    <row r="70" spans="2:7" ht="12.75" hidden="1" customHeight="1" x14ac:dyDescent="0.2">
      <c r="F70" s="37"/>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sheetData>
  <mergeCells count="6">
    <mergeCell ref="B15:D15"/>
    <mergeCell ref="B9:D9"/>
    <mergeCell ref="G28:L28"/>
    <mergeCell ref="B2:L2"/>
    <mergeCell ref="G5:H5"/>
    <mergeCell ref="B17:D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90" zoomScaleNormal="90" workbookViewId="0"/>
  </sheetViews>
  <sheetFormatPr defaultColWidth="0" defaultRowHeight="12.75" zeroHeight="1" x14ac:dyDescent="0.2"/>
  <cols>
    <col min="1" max="2" width="3.125" style="3" customWidth="1"/>
    <col min="3" max="3" width="23.75" customWidth="1"/>
    <col min="4" max="4" width="3.625" customWidth="1"/>
    <col min="5" max="5" width="4.625" customWidth="1"/>
    <col min="6" max="10" width="16.625" customWidth="1"/>
    <col min="11" max="11" width="16.625" style="3" customWidth="1"/>
    <col min="12" max="13" width="16.625"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68"/>
      <c r="B1" s="68"/>
      <c r="C1" s="68"/>
      <c r="D1" s="68"/>
      <c r="E1" s="68"/>
      <c r="F1" s="68"/>
      <c r="G1" s="68"/>
      <c r="H1" s="68"/>
      <c r="I1" s="68"/>
      <c r="J1" s="68"/>
      <c r="K1" s="68"/>
      <c r="L1" s="68"/>
      <c r="M1" s="68"/>
      <c r="N1" s="68"/>
      <c r="O1" s="68"/>
    </row>
    <row r="2" spans="1:15" x14ac:dyDescent="0.2">
      <c r="A2" s="68"/>
      <c r="L2" s="3"/>
      <c r="O2" s="68"/>
    </row>
    <row r="3" spans="1:15" x14ac:dyDescent="0.2">
      <c r="A3" s="68"/>
      <c r="C3" s="61" t="s">
        <v>80</v>
      </c>
      <c r="D3" s="61"/>
      <c r="E3" s="61"/>
      <c r="F3" s="61"/>
      <c r="G3" s="61"/>
      <c r="H3" s="61"/>
      <c r="I3" s="61"/>
      <c r="J3" s="61"/>
      <c r="K3" s="70"/>
      <c r="L3" s="70"/>
      <c r="M3" s="95">
        <f ca="1">TODAY()</f>
        <v>43021</v>
      </c>
      <c r="O3" s="68"/>
    </row>
    <row r="4" spans="1:15" x14ac:dyDescent="0.2">
      <c r="A4" s="68"/>
      <c r="C4" s="128" t="str">
        <f>Tooltype</f>
        <v>Freshwater calculator tool</v>
      </c>
      <c r="L4" s="3"/>
      <c r="O4" s="68"/>
    </row>
    <row r="5" spans="1:15" x14ac:dyDescent="0.2">
      <c r="A5" s="68"/>
      <c r="L5" s="3"/>
      <c r="O5" s="68"/>
    </row>
    <row r="6" spans="1:15" x14ac:dyDescent="0.2">
      <c r="A6" s="68"/>
      <c r="C6" s="62" t="s">
        <v>81</v>
      </c>
      <c r="D6" t="str">
        <f>Compound_Name</f>
        <v>Tolylfluanid</v>
      </c>
      <c r="L6" s="3"/>
      <c r="O6" s="68"/>
    </row>
    <row r="7" spans="1:15" x14ac:dyDescent="0.2">
      <c r="A7" s="68"/>
      <c r="C7" s="62" t="s">
        <v>82</v>
      </c>
      <c r="D7" t="str">
        <f>Version</f>
        <v>Version Final 1.1</v>
      </c>
      <c r="L7" s="3"/>
      <c r="O7" s="68"/>
    </row>
    <row r="8" spans="1:15" x14ac:dyDescent="0.2">
      <c r="A8" s="68"/>
      <c r="L8" s="3"/>
      <c r="O8" s="68"/>
    </row>
    <row r="9" spans="1:15" x14ac:dyDescent="0.2">
      <c r="A9" s="68"/>
      <c r="C9" s="162" t="s">
        <v>17</v>
      </c>
      <c r="D9" s="162"/>
      <c r="E9" s="162"/>
      <c r="F9" s="162"/>
      <c r="G9" s="162"/>
      <c r="L9" s="3"/>
      <c r="O9" s="68"/>
    </row>
    <row r="10" spans="1:15" s="66" customFormat="1" x14ac:dyDescent="0.2">
      <c r="A10" s="68"/>
      <c r="B10" s="3"/>
      <c r="C10" s="63"/>
      <c r="K10" s="3"/>
      <c r="L10" s="3"/>
      <c r="O10" s="68"/>
    </row>
    <row r="11" spans="1:15" x14ac:dyDescent="0.2">
      <c r="A11" s="68"/>
      <c r="C11" s="163" t="s">
        <v>92</v>
      </c>
      <c r="D11" s="163"/>
      <c r="E11" s="163"/>
      <c r="F11" s="163"/>
      <c r="G11" s="163"/>
      <c r="L11" s="3"/>
      <c r="O11" s="68"/>
    </row>
    <row r="12" spans="1:15" s="66" customFormat="1" x14ac:dyDescent="0.2">
      <c r="A12" s="68"/>
      <c r="B12" s="3"/>
      <c r="C12" s="66" t="s">
        <v>68</v>
      </c>
      <c r="F12" s="66">
        <f>Application_Factor</f>
        <v>0.9</v>
      </c>
      <c r="K12" s="3"/>
      <c r="L12" s="3"/>
      <c r="O12" s="68"/>
    </row>
    <row r="13" spans="1:15" s="66" customFormat="1" x14ac:dyDescent="0.2">
      <c r="A13" s="68"/>
      <c r="B13" s="3"/>
      <c r="C13" s="66" t="s">
        <v>91</v>
      </c>
      <c r="F13" s="135" t="e">
        <f>IF(ISBLANK(Average_biocide_release_over_the_lifetime_of_the_paint_M),Average_biocide_release_over_the_lifetime_of_the_paint_C,Average_biocide_release_over_the_lifetime_of_the_paint_M)</f>
        <v>#DIV/0!</v>
      </c>
      <c r="K13" s="3"/>
      <c r="L13" s="3"/>
      <c r="O13" s="68"/>
    </row>
    <row r="14" spans="1:15" s="66" customFormat="1" x14ac:dyDescent="0.2">
      <c r="A14" s="68"/>
      <c r="B14" s="3"/>
      <c r="K14" s="3"/>
      <c r="L14" s="3"/>
      <c r="O14" s="68"/>
    </row>
    <row r="15" spans="1:15" s="66" customFormat="1" x14ac:dyDescent="0.2">
      <c r="A15" s="68"/>
      <c r="B15" s="3"/>
      <c r="C15" s="163" t="s">
        <v>59</v>
      </c>
      <c r="D15" s="163"/>
      <c r="E15" s="163"/>
      <c r="F15" s="163"/>
      <c r="G15" s="163"/>
      <c r="K15" s="3"/>
      <c r="L15" s="3"/>
      <c r="O15" s="68"/>
    </row>
    <row r="16" spans="1:15" s="66" customFormat="1" x14ac:dyDescent="0.2">
      <c r="A16" s="68"/>
      <c r="B16" s="3"/>
      <c r="C16" s="164" t="s">
        <v>183</v>
      </c>
      <c r="D16" s="164"/>
      <c r="E16" s="164"/>
      <c r="F16" s="164"/>
      <c r="G16" s="136">
        <f>PNEC_Aquatic_Inside</f>
        <v>0.26500000000000001</v>
      </c>
      <c r="K16" s="3"/>
      <c r="L16" s="3"/>
      <c r="O16" s="68"/>
    </row>
    <row r="17" spans="1:23" s="66" customFormat="1" x14ac:dyDescent="0.2">
      <c r="A17" s="68"/>
      <c r="B17" s="3"/>
      <c r="C17" s="164" t="s">
        <v>182</v>
      </c>
      <c r="D17" s="164"/>
      <c r="E17" s="164"/>
      <c r="F17" s="164"/>
      <c r="G17" s="136">
        <f>PNEC_Sediment_Inside</f>
        <v>0</v>
      </c>
      <c r="K17" s="3"/>
      <c r="L17" s="3"/>
      <c r="O17" s="68"/>
    </row>
    <row r="18" spans="1:23" s="66" customFormat="1" x14ac:dyDescent="0.2">
      <c r="A18" s="68"/>
      <c r="B18" s="3"/>
      <c r="C18" s="164" t="s">
        <v>181</v>
      </c>
      <c r="D18" s="164"/>
      <c r="E18" s="164"/>
      <c r="F18" s="164"/>
      <c r="G18" s="136">
        <f>PNEC_Aquatic_Surrounding</f>
        <v>0.26500000000000001</v>
      </c>
      <c r="K18" s="3"/>
      <c r="L18" s="3"/>
      <c r="O18" s="68"/>
    </row>
    <row r="19" spans="1:23" x14ac:dyDescent="0.2">
      <c r="A19" s="68"/>
      <c r="C19" s="164" t="s">
        <v>180</v>
      </c>
      <c r="D19" s="164"/>
      <c r="E19" s="164"/>
      <c r="F19" s="164"/>
      <c r="G19" s="136">
        <f>PNEC_Sediment_Surrounding</f>
        <v>0</v>
      </c>
      <c r="L19" s="3"/>
      <c r="O19" s="68"/>
    </row>
    <row r="20" spans="1:23" x14ac:dyDescent="0.2">
      <c r="A20" s="68"/>
      <c r="L20" s="3"/>
      <c r="O20" s="68"/>
    </row>
    <row r="21" spans="1:23" x14ac:dyDescent="0.2">
      <c r="A21" s="68"/>
      <c r="C21" s="163" t="s">
        <v>57</v>
      </c>
      <c r="D21" s="163"/>
      <c r="E21" s="163"/>
      <c r="F21" s="163"/>
      <c r="G21" s="163"/>
      <c r="L21" s="3"/>
      <c r="O21" s="68"/>
    </row>
    <row r="22" spans="1:23" ht="25.5" x14ac:dyDescent="0.2">
      <c r="A22" s="68"/>
      <c r="F22" s="118" t="s">
        <v>176</v>
      </c>
      <c r="G22" s="118" t="s">
        <v>177</v>
      </c>
      <c r="L22" s="3"/>
      <c r="O22" s="68"/>
    </row>
    <row r="23" spans="1:23" x14ac:dyDescent="0.2">
      <c r="A23" s="68"/>
      <c r="C23" t="s">
        <v>187</v>
      </c>
      <c r="F23" s="119">
        <f>Background_SW_Freshwater</f>
        <v>0</v>
      </c>
      <c r="G23" s="119">
        <f>Background_Sed_Freshwater</f>
        <v>0</v>
      </c>
      <c r="L23" s="3"/>
      <c r="O23" s="68"/>
    </row>
    <row r="24" spans="1:23" s="96" customFormat="1" x14ac:dyDescent="0.2">
      <c r="A24" s="68"/>
      <c r="B24" s="3"/>
      <c r="K24" s="3"/>
      <c r="L24" s="3"/>
      <c r="O24" s="83"/>
      <c r="P24" s="75"/>
      <c r="Q24" s="75"/>
    </row>
    <row r="25" spans="1:23" x14ac:dyDescent="0.2">
      <c r="A25" s="68"/>
      <c r="L25" s="3"/>
      <c r="O25" s="83"/>
      <c r="P25" s="75"/>
      <c r="Q25" s="75"/>
    </row>
    <row r="26" spans="1:23" x14ac:dyDescent="0.2">
      <c r="A26" s="68"/>
      <c r="C26" s="63" t="s">
        <v>88</v>
      </c>
      <c r="L26" s="3"/>
      <c r="O26" s="83"/>
      <c r="P26" s="75"/>
      <c r="Q26" s="75"/>
    </row>
    <row r="27" spans="1:23" x14ac:dyDescent="0.2">
      <c r="A27" s="68"/>
      <c r="O27" s="83"/>
      <c r="P27" s="75"/>
      <c r="Q27" s="75"/>
    </row>
    <row r="28" spans="1:23" ht="80.099999999999994" customHeight="1" x14ac:dyDescent="0.2">
      <c r="A28" s="68"/>
      <c r="C28" s="152" t="s">
        <v>187</v>
      </c>
      <c r="D28" s="153"/>
      <c r="E28" s="154"/>
      <c r="F28" s="120" t="s">
        <v>212</v>
      </c>
      <c r="G28" s="120" t="s">
        <v>213</v>
      </c>
      <c r="H28" s="120" t="s">
        <v>214</v>
      </c>
      <c r="I28" s="120" t="s">
        <v>215</v>
      </c>
      <c r="J28" s="120" t="s">
        <v>61</v>
      </c>
      <c r="K28" s="120" t="s">
        <v>216</v>
      </c>
      <c r="L28" s="120" t="s">
        <v>217</v>
      </c>
      <c r="M28" s="120" t="s">
        <v>218</v>
      </c>
      <c r="N28" s="77"/>
      <c r="O28" s="84"/>
      <c r="P28" s="77"/>
      <c r="Q28" s="75"/>
      <c r="S28" s="75"/>
      <c r="T28" s="65"/>
      <c r="U28" s="65"/>
      <c r="V28" s="65"/>
      <c r="W28" s="65"/>
    </row>
    <row r="29" spans="1:23" x14ac:dyDescent="0.2">
      <c r="A29" s="68"/>
      <c r="C29" s="155" t="s">
        <v>87</v>
      </c>
      <c r="D29" s="156"/>
      <c r="E29" s="157"/>
      <c r="F29" s="121" t="e">
        <f>'Output_EU marinas'!F58</f>
        <v>#DIV/0!</v>
      </c>
      <c r="G29" s="121" t="e">
        <f>'Output_EU marinas'!G58</f>
        <v>#DIV/0!</v>
      </c>
      <c r="H29" s="121" t="e">
        <f>'Output_EU marinas'!H58</f>
        <v>#DIV/0!</v>
      </c>
      <c r="I29" s="121" t="e">
        <f>'Output_EU marinas'!I58</f>
        <v>#DIV/0!</v>
      </c>
      <c r="J29" s="121" t="e">
        <f>'Output_EU marinas'!J58</f>
        <v>#DIV/0!</v>
      </c>
      <c r="K29" s="121" t="e">
        <f>'Output_EU marinas'!K58</f>
        <v>#DIV/0!</v>
      </c>
      <c r="L29" s="121" t="e">
        <f>'Output_EU marinas'!L58</f>
        <v>#DIV/0!</v>
      </c>
      <c r="M29" s="121" t="e">
        <f>'Output_EU marinas'!M58</f>
        <v>#DIV/0!</v>
      </c>
      <c r="N29" s="75"/>
      <c r="O29" s="83"/>
      <c r="P29" s="75"/>
      <c r="Q29" s="75"/>
      <c r="R29" s="75"/>
      <c r="S29" s="75"/>
    </row>
    <row r="30" spans="1:23" ht="12.75" customHeight="1" x14ac:dyDescent="0.2">
      <c r="A30" s="68"/>
      <c r="C30" s="158" t="s">
        <v>15</v>
      </c>
      <c r="D30" s="159"/>
      <c r="E30" s="160"/>
      <c r="F30" s="121" t="e">
        <f>'Output_EU marinas'!F59</f>
        <v>#DIV/0!</v>
      </c>
      <c r="G30" s="121" t="e">
        <f>'Output_EU marinas'!G59</f>
        <v>#DIV/0!</v>
      </c>
      <c r="H30" s="121" t="e">
        <f>'Output_EU marinas'!H59</f>
        <v>#DIV/0!</v>
      </c>
      <c r="I30" s="121" t="e">
        <f>'Output_EU marinas'!I59</f>
        <v>#DIV/0!</v>
      </c>
      <c r="J30" s="121" t="e">
        <f>'Output_EU marinas'!J59</f>
        <v>#DIV/0!</v>
      </c>
      <c r="K30" s="121" t="e">
        <f>'Output_EU marinas'!K59</f>
        <v>#DIV/0!</v>
      </c>
      <c r="L30" s="121" t="e">
        <f>'Output_EU marinas'!L59</f>
        <v>#DIV/0!</v>
      </c>
      <c r="M30" s="121" t="e">
        <f>'Output_EU marinas'!M59</f>
        <v>#DIV/0!</v>
      </c>
      <c r="O30" s="68"/>
    </row>
    <row r="31" spans="1:23" x14ac:dyDescent="0.2">
      <c r="A31" s="68"/>
      <c r="C31" s="158" t="s">
        <v>16</v>
      </c>
      <c r="D31" s="159"/>
      <c r="E31" s="160"/>
      <c r="F31" s="121" t="e">
        <f>'Output_EU marinas'!F60</f>
        <v>#DIV/0!</v>
      </c>
      <c r="G31" s="121" t="e">
        <f>'Output_EU marinas'!G60</f>
        <v>#DIV/0!</v>
      </c>
      <c r="H31" s="121" t="e">
        <f>'Output_EU marinas'!H60</f>
        <v>#DIV/0!</v>
      </c>
      <c r="I31" s="121" t="e">
        <f>'Output_EU marinas'!I60</f>
        <v>#DIV/0!</v>
      </c>
      <c r="J31" s="121" t="e">
        <f>'Output_EU marinas'!J60</f>
        <v>#DIV/0!</v>
      </c>
      <c r="K31" s="121" t="e">
        <f>'Output_EU marinas'!K60</f>
        <v>#DIV/0!</v>
      </c>
      <c r="L31" s="121" t="e">
        <f>'Output_EU marinas'!L60</f>
        <v>#DIV/0!</v>
      </c>
      <c r="M31" s="121" t="e">
        <f>'Output_EU marinas'!M60</f>
        <v>#DIV/0!</v>
      </c>
      <c r="O31" s="68"/>
    </row>
    <row r="32" spans="1:23" x14ac:dyDescent="0.2">
      <c r="A32" s="68"/>
      <c r="C32" s="75"/>
      <c r="D32" s="75"/>
      <c r="E32" s="75"/>
      <c r="F32" s="75"/>
      <c r="G32" s="75"/>
      <c r="H32" s="75"/>
      <c r="I32" s="75"/>
      <c r="O32" s="68"/>
    </row>
    <row r="33" spans="1:26" x14ac:dyDescent="0.2">
      <c r="A33" s="68"/>
      <c r="B33" s="68"/>
      <c r="C33" s="69"/>
      <c r="D33" s="68"/>
      <c r="E33" s="68"/>
      <c r="F33" s="68"/>
      <c r="G33" s="68"/>
      <c r="H33" s="68"/>
      <c r="I33" s="68"/>
      <c r="J33" s="68"/>
      <c r="K33" s="68"/>
      <c r="L33" s="68"/>
      <c r="M33" s="68"/>
      <c r="N33" s="68"/>
      <c r="O33" s="68"/>
      <c r="Q33" s="76"/>
      <c r="R33" s="76"/>
      <c r="S33" s="75"/>
      <c r="T33" s="75"/>
      <c r="U33" s="75"/>
      <c r="V33" s="75"/>
      <c r="W33" s="75"/>
      <c r="X33" s="75"/>
      <c r="Y33" s="16"/>
      <c r="Z33" s="3"/>
    </row>
    <row r="34" spans="1:26" x14ac:dyDescent="0.2">
      <c r="A34" s="68"/>
      <c r="C34" s="63" t="s">
        <v>89</v>
      </c>
      <c r="O34" s="68"/>
    </row>
    <row r="35" spans="1:26" x14ac:dyDescent="0.2">
      <c r="A35" s="68"/>
      <c r="B35"/>
      <c r="O35" s="68"/>
    </row>
    <row r="36" spans="1:26" x14ac:dyDescent="0.2">
      <c r="A36" s="68"/>
      <c r="C36" s="85" t="s">
        <v>83</v>
      </c>
      <c r="D36" s="74"/>
      <c r="E36" s="74"/>
      <c r="F36" s="74"/>
      <c r="G36" s="74"/>
      <c r="H36" s="74"/>
      <c r="O36" s="68"/>
    </row>
    <row r="37" spans="1:26" ht="105.95" customHeight="1" x14ac:dyDescent="0.2">
      <c r="A37" s="68"/>
      <c r="B37"/>
      <c r="C37" s="64" t="s">
        <v>10</v>
      </c>
      <c r="D37" s="165" t="s">
        <v>11</v>
      </c>
      <c r="E37" s="166"/>
      <c r="F37" s="114" t="s">
        <v>193</v>
      </c>
      <c r="G37" s="114" t="s">
        <v>194</v>
      </c>
      <c r="H37" s="114" t="s">
        <v>195</v>
      </c>
      <c r="I37" s="114" t="s">
        <v>192</v>
      </c>
      <c r="O37" s="68"/>
    </row>
    <row r="38" spans="1:26" x14ac:dyDescent="0.2">
      <c r="A38" s="68"/>
      <c r="C38" s="122" t="s">
        <v>108</v>
      </c>
      <c r="D38" s="122" t="s">
        <v>109</v>
      </c>
      <c r="E38" s="122">
        <v>1</v>
      </c>
      <c r="F38" s="121" t="e">
        <f>'EU Marinas_Scenario_Calc'!K21</f>
        <v>#DIV/0!</v>
      </c>
      <c r="G38" s="121" t="e">
        <f>'EU Marinas_Scenario_Calc'!L21</f>
        <v>#DIV/0!</v>
      </c>
      <c r="H38" s="121" t="e">
        <f>'EU Marinas_Scenario_Calc'!M21</f>
        <v>#DIV/0!</v>
      </c>
      <c r="I38" s="121" t="e">
        <f>'EU Marinas_Scenario_Calc'!N21</f>
        <v>#DIV/0!</v>
      </c>
      <c r="O38" s="68"/>
    </row>
    <row r="39" spans="1:26" x14ac:dyDescent="0.2">
      <c r="A39" s="68"/>
      <c r="C39" s="122" t="s">
        <v>110</v>
      </c>
      <c r="D39" s="122" t="s">
        <v>109</v>
      </c>
      <c r="E39" s="122">
        <v>2</v>
      </c>
      <c r="F39" s="121" t="e">
        <f>'EU Marinas_Scenario_Calc'!K22</f>
        <v>#DIV/0!</v>
      </c>
      <c r="G39" s="121" t="e">
        <f>'EU Marinas_Scenario_Calc'!L22</f>
        <v>#DIV/0!</v>
      </c>
      <c r="H39" s="121" t="e">
        <f>'EU Marinas_Scenario_Calc'!M22</f>
        <v>#DIV/0!</v>
      </c>
      <c r="I39" s="121" t="e">
        <f>'EU Marinas_Scenario_Calc'!N22</f>
        <v>#DIV/0!</v>
      </c>
      <c r="O39" s="68"/>
    </row>
    <row r="40" spans="1:26" x14ac:dyDescent="0.2">
      <c r="A40" s="68"/>
      <c r="C40" s="122" t="s">
        <v>111</v>
      </c>
      <c r="D40" s="122" t="s">
        <v>109</v>
      </c>
      <c r="E40" s="122">
        <v>3</v>
      </c>
      <c r="F40" s="121" t="e">
        <f>'EU Marinas_Scenario_Calc'!K23</f>
        <v>#DIV/0!</v>
      </c>
      <c r="G40" s="121" t="e">
        <f>'EU Marinas_Scenario_Calc'!L23</f>
        <v>#DIV/0!</v>
      </c>
      <c r="H40" s="121" t="e">
        <f>'EU Marinas_Scenario_Calc'!M23</f>
        <v>#DIV/0!</v>
      </c>
      <c r="I40" s="121" t="e">
        <f>'EU Marinas_Scenario_Calc'!N23</f>
        <v>#DIV/0!</v>
      </c>
      <c r="O40" s="68"/>
    </row>
    <row r="41" spans="1:26" x14ac:dyDescent="0.2">
      <c r="A41" s="68"/>
      <c r="C41" s="122" t="s">
        <v>112</v>
      </c>
      <c r="D41" s="122" t="s">
        <v>109</v>
      </c>
      <c r="E41" s="122">
        <v>4</v>
      </c>
      <c r="F41" s="121" t="e">
        <f>'EU Marinas_Scenario_Calc'!K24</f>
        <v>#DIV/0!</v>
      </c>
      <c r="G41" s="121" t="e">
        <f>'EU Marinas_Scenario_Calc'!L24</f>
        <v>#DIV/0!</v>
      </c>
      <c r="H41" s="121" t="e">
        <f>'EU Marinas_Scenario_Calc'!M24</f>
        <v>#DIV/0!</v>
      </c>
      <c r="I41" s="121" t="e">
        <f>'EU Marinas_Scenario_Calc'!N24</f>
        <v>#DIV/0!</v>
      </c>
      <c r="O41" s="68"/>
    </row>
    <row r="42" spans="1:26" x14ac:dyDescent="0.2">
      <c r="A42" s="68"/>
      <c r="C42" s="122" t="s">
        <v>113</v>
      </c>
      <c r="D42" s="122" t="s">
        <v>109</v>
      </c>
      <c r="E42" s="122">
        <v>5</v>
      </c>
      <c r="F42" s="121" t="e">
        <f>'EU Marinas_Scenario_Calc'!K25</f>
        <v>#DIV/0!</v>
      </c>
      <c r="G42" s="121" t="e">
        <f>'EU Marinas_Scenario_Calc'!L25</f>
        <v>#DIV/0!</v>
      </c>
      <c r="H42" s="121" t="e">
        <f>'EU Marinas_Scenario_Calc'!M25</f>
        <v>#DIV/0!</v>
      </c>
      <c r="I42" s="121" t="e">
        <f>'EU Marinas_Scenario_Calc'!N25</f>
        <v>#DIV/0!</v>
      </c>
      <c r="O42" s="68"/>
    </row>
    <row r="43" spans="1:26" x14ac:dyDescent="0.2">
      <c r="A43" s="68"/>
      <c r="C43" s="122" t="s">
        <v>114</v>
      </c>
      <c r="D43" s="122" t="s">
        <v>109</v>
      </c>
      <c r="E43" s="122">
        <v>6</v>
      </c>
      <c r="F43" s="121" t="e">
        <f>'EU Marinas_Scenario_Calc'!K26</f>
        <v>#DIV/0!</v>
      </c>
      <c r="G43" s="121" t="e">
        <f>'EU Marinas_Scenario_Calc'!L26</f>
        <v>#DIV/0!</v>
      </c>
      <c r="H43" s="121" t="e">
        <f>'EU Marinas_Scenario_Calc'!M26</f>
        <v>#DIV/0!</v>
      </c>
      <c r="I43" s="121" t="e">
        <f>'EU Marinas_Scenario_Calc'!N26</f>
        <v>#DIV/0!</v>
      </c>
      <c r="O43" s="68"/>
    </row>
    <row r="44" spans="1:26" x14ac:dyDescent="0.2">
      <c r="A44" s="68"/>
      <c r="C44" s="122" t="s">
        <v>115</v>
      </c>
      <c r="D44" s="122" t="s">
        <v>109</v>
      </c>
      <c r="E44" s="122">
        <v>7</v>
      </c>
      <c r="F44" s="121" t="e">
        <f>'EU Marinas_Scenario_Calc'!K27</f>
        <v>#DIV/0!</v>
      </c>
      <c r="G44" s="121" t="e">
        <f>'EU Marinas_Scenario_Calc'!L27</f>
        <v>#DIV/0!</v>
      </c>
      <c r="H44" s="121" t="e">
        <f>'EU Marinas_Scenario_Calc'!M27</f>
        <v>#DIV/0!</v>
      </c>
      <c r="I44" s="121" t="e">
        <f>'EU Marinas_Scenario_Calc'!N27</f>
        <v>#DIV/0!</v>
      </c>
      <c r="O44" s="68"/>
    </row>
    <row r="45" spans="1:26" x14ac:dyDescent="0.2">
      <c r="A45" s="68"/>
      <c r="C45" s="122" t="s">
        <v>116</v>
      </c>
      <c r="D45" s="122" t="s">
        <v>117</v>
      </c>
      <c r="E45" s="122">
        <v>2</v>
      </c>
      <c r="F45" s="121" t="e">
        <f>'EU Marinas_Scenario_Calc'!K28</f>
        <v>#DIV/0!</v>
      </c>
      <c r="G45" s="121" t="e">
        <f>'EU Marinas_Scenario_Calc'!L28</f>
        <v>#DIV/0!</v>
      </c>
      <c r="H45" s="121" t="e">
        <f>'EU Marinas_Scenario_Calc'!M28</f>
        <v>#DIV/0!</v>
      </c>
      <c r="I45" s="121" t="e">
        <f>'EU Marinas_Scenario_Calc'!N28</f>
        <v>#DIV/0!</v>
      </c>
      <c r="O45" s="68"/>
    </row>
    <row r="46" spans="1:26" x14ac:dyDescent="0.2">
      <c r="A46" s="68"/>
      <c r="C46" s="122" t="s">
        <v>118</v>
      </c>
      <c r="D46" s="122" t="s">
        <v>117</v>
      </c>
      <c r="E46" s="122">
        <v>3</v>
      </c>
      <c r="F46" s="121" t="e">
        <f>'EU Marinas_Scenario_Calc'!K29</f>
        <v>#DIV/0!</v>
      </c>
      <c r="G46" s="121" t="e">
        <f>'EU Marinas_Scenario_Calc'!L29</f>
        <v>#DIV/0!</v>
      </c>
      <c r="H46" s="121" t="e">
        <f>'EU Marinas_Scenario_Calc'!M29</f>
        <v>#DIV/0!</v>
      </c>
      <c r="I46" s="121" t="e">
        <f>'EU Marinas_Scenario_Calc'!N29</f>
        <v>#DIV/0!</v>
      </c>
      <c r="O46" s="68"/>
    </row>
    <row r="47" spans="1:26" x14ac:dyDescent="0.2">
      <c r="A47" s="68"/>
      <c r="C47" s="122" t="s">
        <v>119</v>
      </c>
      <c r="D47" s="122" t="s">
        <v>117</v>
      </c>
      <c r="E47" s="122">
        <v>5</v>
      </c>
      <c r="F47" s="121" t="e">
        <f>'EU Marinas_Scenario_Calc'!K30</f>
        <v>#DIV/0!</v>
      </c>
      <c r="G47" s="121" t="e">
        <f>'EU Marinas_Scenario_Calc'!L30</f>
        <v>#DIV/0!</v>
      </c>
      <c r="H47" s="121" t="e">
        <f>'EU Marinas_Scenario_Calc'!M30</f>
        <v>#DIV/0!</v>
      </c>
      <c r="I47" s="121" t="e">
        <f>'EU Marinas_Scenario_Calc'!N30</f>
        <v>#DIV/0!</v>
      </c>
      <c r="O47" s="68"/>
    </row>
    <row r="48" spans="1:26" x14ac:dyDescent="0.2">
      <c r="A48" s="68"/>
      <c r="C48" s="122" t="s">
        <v>120</v>
      </c>
      <c r="D48" s="122" t="s">
        <v>117</v>
      </c>
      <c r="E48" s="122">
        <v>6</v>
      </c>
      <c r="F48" s="121" t="e">
        <f>'EU Marinas_Scenario_Calc'!K31</f>
        <v>#DIV/0!</v>
      </c>
      <c r="G48" s="121" t="e">
        <f>'EU Marinas_Scenario_Calc'!L31</f>
        <v>#DIV/0!</v>
      </c>
      <c r="H48" s="121" t="e">
        <f>'EU Marinas_Scenario_Calc'!M31</f>
        <v>#DIV/0!</v>
      </c>
      <c r="I48" s="121" t="e">
        <f>'EU Marinas_Scenario_Calc'!N31</f>
        <v>#DIV/0!</v>
      </c>
      <c r="O48" s="68"/>
    </row>
    <row r="49" spans="1:15" x14ac:dyDescent="0.2">
      <c r="A49" s="68"/>
      <c r="C49" s="122" t="s">
        <v>121</v>
      </c>
      <c r="D49" s="122" t="s">
        <v>117</v>
      </c>
      <c r="E49" s="122">
        <v>11</v>
      </c>
      <c r="F49" s="121" t="e">
        <f>'EU Marinas_Scenario_Calc'!K32</f>
        <v>#DIV/0!</v>
      </c>
      <c r="G49" s="121" t="e">
        <f>'EU Marinas_Scenario_Calc'!L32</f>
        <v>#DIV/0!</v>
      </c>
      <c r="H49" s="121" t="e">
        <f>'EU Marinas_Scenario_Calc'!M32</f>
        <v>#DIV/0!</v>
      </c>
      <c r="I49" s="121" t="e">
        <f>'EU Marinas_Scenario_Calc'!N32</f>
        <v>#DIV/0!</v>
      </c>
      <c r="O49" s="68"/>
    </row>
    <row r="50" spans="1:15" x14ac:dyDescent="0.2">
      <c r="A50" s="68"/>
      <c r="C50" s="122" t="s">
        <v>122</v>
      </c>
      <c r="D50" s="122" t="s">
        <v>117</v>
      </c>
      <c r="E50" s="122">
        <v>12</v>
      </c>
      <c r="F50" s="121" t="e">
        <f>'EU Marinas_Scenario_Calc'!K33</f>
        <v>#DIV/0!</v>
      </c>
      <c r="G50" s="121" t="e">
        <f>'EU Marinas_Scenario_Calc'!L33</f>
        <v>#DIV/0!</v>
      </c>
      <c r="H50" s="121" t="e">
        <f>'EU Marinas_Scenario_Calc'!M33</f>
        <v>#DIV/0!</v>
      </c>
      <c r="I50" s="121" t="e">
        <f>'EU Marinas_Scenario_Calc'!N33</f>
        <v>#DIV/0!</v>
      </c>
      <c r="O50" s="68"/>
    </row>
    <row r="51" spans="1:15" x14ac:dyDescent="0.2">
      <c r="A51" s="68"/>
      <c r="C51" s="122" t="s">
        <v>123</v>
      </c>
      <c r="D51" s="122" t="s">
        <v>13</v>
      </c>
      <c r="E51" s="122" t="s">
        <v>124</v>
      </c>
      <c r="F51" s="121" t="e">
        <f>'EU Marinas_Scenario_Calc'!K34</f>
        <v>#DIV/0!</v>
      </c>
      <c r="G51" s="121" t="e">
        <f>'EU Marinas_Scenario_Calc'!L34</f>
        <v>#DIV/0!</v>
      </c>
      <c r="H51" s="121" t="e">
        <f>'EU Marinas_Scenario_Calc'!M34</f>
        <v>#DIV/0!</v>
      </c>
      <c r="I51" s="121" t="e">
        <f>'EU Marinas_Scenario_Calc'!N34</f>
        <v>#DIV/0!</v>
      </c>
      <c r="O51" s="68"/>
    </row>
    <row r="52" spans="1:15" x14ac:dyDescent="0.2">
      <c r="A52" s="68"/>
      <c r="C52" s="122" t="s">
        <v>125</v>
      </c>
      <c r="D52" s="122" t="s">
        <v>13</v>
      </c>
      <c r="E52" s="122" t="s">
        <v>126</v>
      </c>
      <c r="F52" s="121" t="e">
        <f>'EU Marinas_Scenario_Calc'!K35</f>
        <v>#DIV/0!</v>
      </c>
      <c r="G52" s="121" t="e">
        <f>'EU Marinas_Scenario_Calc'!L35</f>
        <v>#DIV/0!</v>
      </c>
      <c r="H52" s="121" t="e">
        <f>'EU Marinas_Scenario_Calc'!M35</f>
        <v>#DIV/0!</v>
      </c>
      <c r="I52" s="121" t="e">
        <f>'EU Marinas_Scenario_Calc'!N35</f>
        <v>#DIV/0!</v>
      </c>
      <c r="O52" s="68"/>
    </row>
    <row r="53" spans="1:15" x14ac:dyDescent="0.2">
      <c r="A53" s="68"/>
      <c r="C53" s="122" t="s">
        <v>127</v>
      </c>
      <c r="D53" s="122" t="s">
        <v>13</v>
      </c>
      <c r="E53" s="122" t="s">
        <v>128</v>
      </c>
      <c r="F53" s="121" t="e">
        <f>'EU Marinas_Scenario_Calc'!K36</f>
        <v>#DIV/0!</v>
      </c>
      <c r="G53" s="121" t="e">
        <f>'EU Marinas_Scenario_Calc'!L36</f>
        <v>#DIV/0!</v>
      </c>
      <c r="H53" s="121" t="e">
        <f>'EU Marinas_Scenario_Calc'!M36</f>
        <v>#DIV/0!</v>
      </c>
      <c r="I53" s="121" t="e">
        <f>'EU Marinas_Scenario_Calc'!N36</f>
        <v>#DIV/0!</v>
      </c>
      <c r="O53" s="68"/>
    </row>
    <row r="54" spans="1:15" x14ac:dyDescent="0.2">
      <c r="A54" s="68"/>
      <c r="C54" s="122" t="s">
        <v>129</v>
      </c>
      <c r="D54" s="122" t="s">
        <v>13</v>
      </c>
      <c r="E54" s="122" t="s">
        <v>130</v>
      </c>
      <c r="F54" s="121" t="e">
        <f>'EU Marinas_Scenario_Calc'!K37</f>
        <v>#DIV/0!</v>
      </c>
      <c r="G54" s="121" t="e">
        <f>'EU Marinas_Scenario_Calc'!L37</f>
        <v>#DIV/0!</v>
      </c>
      <c r="H54" s="121" t="e">
        <f>'EU Marinas_Scenario_Calc'!M37</f>
        <v>#DIV/0!</v>
      </c>
      <c r="I54" s="121" t="e">
        <f>'EU Marinas_Scenario_Calc'!N37</f>
        <v>#DIV/0!</v>
      </c>
      <c r="O54" s="68"/>
    </row>
    <row r="55" spans="1:15" x14ac:dyDescent="0.2">
      <c r="A55" s="68"/>
      <c r="C55" s="122" t="s">
        <v>131</v>
      </c>
      <c r="D55" s="122" t="s">
        <v>13</v>
      </c>
      <c r="E55" s="122" t="s">
        <v>132</v>
      </c>
      <c r="F55" s="121" t="e">
        <f>'EU Marinas_Scenario_Calc'!K38</f>
        <v>#DIV/0!</v>
      </c>
      <c r="G55" s="121" t="e">
        <f>'EU Marinas_Scenario_Calc'!L38</f>
        <v>#DIV/0!</v>
      </c>
      <c r="H55" s="121" t="e">
        <f>'EU Marinas_Scenario_Calc'!M38</f>
        <v>#DIV/0!</v>
      </c>
      <c r="I55" s="121" t="e">
        <f>'EU Marinas_Scenario_Calc'!N38</f>
        <v>#DIV/0!</v>
      </c>
      <c r="O55" s="68"/>
    </row>
    <row r="56" spans="1:15" x14ac:dyDescent="0.2">
      <c r="A56" s="68"/>
      <c r="C56" s="122" t="s">
        <v>133</v>
      </c>
      <c r="D56" s="122" t="s">
        <v>13</v>
      </c>
      <c r="E56" s="122" t="s">
        <v>134</v>
      </c>
      <c r="F56" s="121" t="e">
        <f>'EU Marinas_Scenario_Calc'!K39</f>
        <v>#DIV/0!</v>
      </c>
      <c r="G56" s="121" t="e">
        <f>'EU Marinas_Scenario_Calc'!L39</f>
        <v>#DIV/0!</v>
      </c>
      <c r="H56" s="121" t="e">
        <f>'EU Marinas_Scenario_Calc'!M39</f>
        <v>#DIV/0!</v>
      </c>
      <c r="I56" s="121" t="e">
        <f>'EU Marinas_Scenario_Calc'!N39</f>
        <v>#DIV/0!</v>
      </c>
      <c r="O56" s="68"/>
    </row>
    <row r="57" spans="1:15" x14ac:dyDescent="0.2">
      <c r="A57" s="68"/>
      <c r="C57" s="122" t="s">
        <v>135</v>
      </c>
      <c r="D57" s="122" t="s">
        <v>13</v>
      </c>
      <c r="E57" s="122" t="s">
        <v>136</v>
      </c>
      <c r="F57" s="121" t="e">
        <f>'EU Marinas_Scenario_Calc'!K40</f>
        <v>#DIV/0!</v>
      </c>
      <c r="G57" s="121" t="e">
        <f>'EU Marinas_Scenario_Calc'!L40</f>
        <v>#DIV/0!</v>
      </c>
      <c r="H57" s="121" t="e">
        <f>'EU Marinas_Scenario_Calc'!M40</f>
        <v>#DIV/0!</v>
      </c>
      <c r="I57" s="121" t="e">
        <f>'EU Marinas_Scenario_Calc'!N40</f>
        <v>#DIV/0!</v>
      </c>
      <c r="O57" s="68"/>
    </row>
    <row r="58" spans="1:15" x14ac:dyDescent="0.2">
      <c r="A58" s="68"/>
      <c r="C58" s="122" t="s">
        <v>137</v>
      </c>
      <c r="D58" s="122" t="s">
        <v>13</v>
      </c>
      <c r="E58" s="122" t="s">
        <v>138</v>
      </c>
      <c r="F58" s="121" t="e">
        <f>'EU Marinas_Scenario_Calc'!K41</f>
        <v>#DIV/0!</v>
      </c>
      <c r="G58" s="121" t="e">
        <f>'EU Marinas_Scenario_Calc'!L41</f>
        <v>#DIV/0!</v>
      </c>
      <c r="H58" s="121" t="e">
        <f>'EU Marinas_Scenario_Calc'!M41</f>
        <v>#DIV/0!</v>
      </c>
      <c r="I58" s="121" t="e">
        <f>'EU Marinas_Scenario_Calc'!N41</f>
        <v>#DIV/0!</v>
      </c>
      <c r="O58" s="68"/>
    </row>
    <row r="59" spans="1:15" x14ac:dyDescent="0.2">
      <c r="A59" s="68"/>
      <c r="C59" s="122" t="s">
        <v>139</v>
      </c>
      <c r="D59" s="122" t="s">
        <v>13</v>
      </c>
      <c r="E59" s="122" t="s">
        <v>140</v>
      </c>
      <c r="F59" s="121" t="e">
        <f>'EU Marinas_Scenario_Calc'!K42</f>
        <v>#DIV/0!</v>
      </c>
      <c r="G59" s="121" t="e">
        <f>'EU Marinas_Scenario_Calc'!L42</f>
        <v>#DIV/0!</v>
      </c>
      <c r="H59" s="121" t="e">
        <f>'EU Marinas_Scenario_Calc'!M42</f>
        <v>#DIV/0!</v>
      </c>
      <c r="I59" s="121" t="e">
        <f>'EU Marinas_Scenario_Calc'!N42</f>
        <v>#DIV/0!</v>
      </c>
      <c r="O59" s="68"/>
    </row>
    <row r="60" spans="1:15" x14ac:dyDescent="0.2">
      <c r="A60" s="68"/>
      <c r="C60" s="122" t="s">
        <v>141</v>
      </c>
      <c r="D60" s="122" t="s">
        <v>13</v>
      </c>
      <c r="E60" s="122" t="s">
        <v>142</v>
      </c>
      <c r="F60" s="121" t="e">
        <f>'EU Marinas_Scenario_Calc'!K43</f>
        <v>#DIV/0!</v>
      </c>
      <c r="G60" s="121" t="e">
        <f>'EU Marinas_Scenario_Calc'!L43</f>
        <v>#DIV/0!</v>
      </c>
      <c r="H60" s="121" t="e">
        <f>'EU Marinas_Scenario_Calc'!M43</f>
        <v>#DIV/0!</v>
      </c>
      <c r="I60" s="121" t="e">
        <f>'EU Marinas_Scenario_Calc'!N43</f>
        <v>#DIV/0!</v>
      </c>
      <c r="O60" s="68"/>
    </row>
    <row r="61" spans="1:15" x14ac:dyDescent="0.2">
      <c r="A61" s="68"/>
      <c r="C61" s="122" t="s">
        <v>143</v>
      </c>
      <c r="D61" s="122" t="s">
        <v>14</v>
      </c>
      <c r="E61" s="122">
        <v>1</v>
      </c>
      <c r="F61" s="121" t="e">
        <f>'EU Marinas_Scenario_Calc'!K44</f>
        <v>#DIV/0!</v>
      </c>
      <c r="G61" s="121" t="e">
        <f>'EU Marinas_Scenario_Calc'!L44</f>
        <v>#DIV/0!</v>
      </c>
      <c r="H61" s="121" t="e">
        <f>'EU Marinas_Scenario_Calc'!M44</f>
        <v>#DIV/0!</v>
      </c>
      <c r="I61" s="121" t="e">
        <f>'EU Marinas_Scenario_Calc'!N44</f>
        <v>#DIV/0!</v>
      </c>
      <c r="O61" s="68"/>
    </row>
    <row r="62" spans="1:15" x14ac:dyDescent="0.2">
      <c r="A62" s="68"/>
      <c r="C62" s="122" t="s">
        <v>144</v>
      </c>
      <c r="D62" s="122" t="s">
        <v>14</v>
      </c>
      <c r="E62" s="122">
        <v>3</v>
      </c>
      <c r="F62" s="121" t="e">
        <f>'EU Marinas_Scenario_Calc'!K45</f>
        <v>#DIV/0!</v>
      </c>
      <c r="G62" s="121" t="e">
        <f>'EU Marinas_Scenario_Calc'!L45</f>
        <v>#DIV/0!</v>
      </c>
      <c r="H62" s="121" t="e">
        <f>'EU Marinas_Scenario_Calc'!M45</f>
        <v>#DIV/0!</v>
      </c>
      <c r="I62" s="121" t="e">
        <f>'EU Marinas_Scenario_Calc'!N45</f>
        <v>#DIV/0!</v>
      </c>
      <c r="O62" s="68"/>
    </row>
    <row r="63" spans="1:15" x14ac:dyDescent="0.2">
      <c r="A63" s="68"/>
      <c r="C63" s="122" t="s">
        <v>145</v>
      </c>
      <c r="D63" s="122" t="s">
        <v>14</v>
      </c>
      <c r="E63" s="122">
        <v>4</v>
      </c>
      <c r="F63" s="121" t="e">
        <f>'EU Marinas_Scenario_Calc'!K46</f>
        <v>#DIV/0!</v>
      </c>
      <c r="G63" s="121" t="e">
        <f>'EU Marinas_Scenario_Calc'!L46</f>
        <v>#DIV/0!</v>
      </c>
      <c r="H63" s="121" t="e">
        <f>'EU Marinas_Scenario_Calc'!M46</f>
        <v>#DIV/0!</v>
      </c>
      <c r="I63" s="121" t="e">
        <f>'EU Marinas_Scenario_Calc'!N46</f>
        <v>#DIV/0!</v>
      </c>
      <c r="O63" s="68"/>
    </row>
    <row r="64" spans="1:15" x14ac:dyDescent="0.2">
      <c r="A64" s="68"/>
      <c r="C64" s="122" t="s">
        <v>146</v>
      </c>
      <c r="D64" s="122" t="s">
        <v>14</v>
      </c>
      <c r="E64" s="122">
        <v>6</v>
      </c>
      <c r="F64" s="121" t="e">
        <f>'EU Marinas_Scenario_Calc'!K47</f>
        <v>#DIV/0!</v>
      </c>
      <c r="G64" s="121" t="e">
        <f>'EU Marinas_Scenario_Calc'!L47</f>
        <v>#DIV/0!</v>
      </c>
      <c r="H64" s="121" t="e">
        <f>'EU Marinas_Scenario_Calc'!M47</f>
        <v>#DIV/0!</v>
      </c>
      <c r="I64" s="121" t="e">
        <f>'EU Marinas_Scenario_Calc'!N47</f>
        <v>#DIV/0!</v>
      </c>
      <c r="O64" s="68"/>
    </row>
    <row r="65" spans="1:15" x14ac:dyDescent="0.2">
      <c r="A65" s="68"/>
      <c r="C65" s="122" t="s">
        <v>147</v>
      </c>
      <c r="D65" s="122" t="s">
        <v>14</v>
      </c>
      <c r="E65" s="122">
        <v>7</v>
      </c>
      <c r="F65" s="121" t="e">
        <f>'EU Marinas_Scenario_Calc'!K48</f>
        <v>#DIV/0!</v>
      </c>
      <c r="G65" s="121" t="e">
        <f>'EU Marinas_Scenario_Calc'!L48</f>
        <v>#DIV/0!</v>
      </c>
      <c r="H65" s="121" t="e">
        <f>'EU Marinas_Scenario_Calc'!M48</f>
        <v>#DIV/0!</v>
      </c>
      <c r="I65" s="121" t="e">
        <f>'EU Marinas_Scenario_Calc'!N48</f>
        <v>#DIV/0!</v>
      </c>
      <c r="O65" s="68"/>
    </row>
    <row r="66" spans="1:15" x14ac:dyDescent="0.2">
      <c r="A66" s="68"/>
      <c r="C66" s="122" t="s">
        <v>148</v>
      </c>
      <c r="D66" s="122" t="s">
        <v>14</v>
      </c>
      <c r="E66" s="122">
        <v>8</v>
      </c>
      <c r="F66" s="121" t="e">
        <f>'EU Marinas_Scenario_Calc'!K49</f>
        <v>#DIV/0!</v>
      </c>
      <c r="G66" s="121" t="e">
        <f>'EU Marinas_Scenario_Calc'!L49</f>
        <v>#DIV/0!</v>
      </c>
      <c r="H66" s="121" t="e">
        <f>'EU Marinas_Scenario_Calc'!M49</f>
        <v>#DIV/0!</v>
      </c>
      <c r="I66" s="121" t="e">
        <f>'EU Marinas_Scenario_Calc'!N49</f>
        <v>#DIV/0!</v>
      </c>
      <c r="O66" s="68"/>
    </row>
    <row r="67" spans="1:15" x14ac:dyDescent="0.2">
      <c r="A67" s="68"/>
      <c r="C67" s="122" t="s">
        <v>149</v>
      </c>
      <c r="D67" s="122" t="s">
        <v>14</v>
      </c>
      <c r="E67" s="122">
        <v>14</v>
      </c>
      <c r="F67" s="121" t="e">
        <f>'EU Marinas_Scenario_Calc'!K50</f>
        <v>#DIV/0!</v>
      </c>
      <c r="G67" s="121" t="e">
        <f>'EU Marinas_Scenario_Calc'!L50</f>
        <v>#DIV/0!</v>
      </c>
      <c r="H67" s="121" t="e">
        <f>'EU Marinas_Scenario_Calc'!M50</f>
        <v>#DIV/0!</v>
      </c>
      <c r="I67" s="121" t="e">
        <f>'EU Marinas_Scenario_Calc'!N50</f>
        <v>#DIV/0!</v>
      </c>
      <c r="O67" s="68"/>
    </row>
    <row r="68" spans="1:15" x14ac:dyDescent="0.2">
      <c r="A68" s="68"/>
      <c r="C68" s="122" t="s">
        <v>150</v>
      </c>
      <c r="D68" s="122" t="s">
        <v>14</v>
      </c>
      <c r="E68" s="122">
        <v>17</v>
      </c>
      <c r="F68" s="121" t="e">
        <f>'EU Marinas_Scenario_Calc'!K51</f>
        <v>#DIV/0!</v>
      </c>
      <c r="G68" s="121" t="e">
        <f>'EU Marinas_Scenario_Calc'!L51</f>
        <v>#DIV/0!</v>
      </c>
      <c r="H68" s="121" t="e">
        <f>'EU Marinas_Scenario_Calc'!M51</f>
        <v>#DIV/0!</v>
      </c>
      <c r="I68" s="121" t="e">
        <f>'EU Marinas_Scenario_Calc'!N51</f>
        <v>#DIV/0!</v>
      </c>
      <c r="O68" s="68"/>
    </row>
    <row r="69" spans="1:15" x14ac:dyDescent="0.2">
      <c r="A69" s="68"/>
      <c r="C69" s="122" t="s">
        <v>151</v>
      </c>
      <c r="D69" s="122" t="s">
        <v>14</v>
      </c>
      <c r="E69" s="122">
        <v>21</v>
      </c>
      <c r="F69" s="121" t="e">
        <f>'EU Marinas_Scenario_Calc'!K52</f>
        <v>#DIV/0!</v>
      </c>
      <c r="G69" s="121" t="e">
        <f>'EU Marinas_Scenario_Calc'!L52</f>
        <v>#DIV/0!</v>
      </c>
      <c r="H69" s="121" t="e">
        <f>'EU Marinas_Scenario_Calc'!M52</f>
        <v>#DIV/0!</v>
      </c>
      <c r="I69" s="121" t="e">
        <f>'EU Marinas_Scenario_Calc'!N52</f>
        <v>#DIV/0!</v>
      </c>
      <c r="O69" s="68"/>
    </row>
    <row r="70" spans="1:15" x14ac:dyDescent="0.2">
      <c r="A70" s="68"/>
      <c r="C70" s="122" t="s">
        <v>152</v>
      </c>
      <c r="D70" s="122" t="s">
        <v>14</v>
      </c>
      <c r="E70" s="122">
        <v>26</v>
      </c>
      <c r="F70" s="121" t="e">
        <f>'EU Marinas_Scenario_Calc'!K53</f>
        <v>#DIV/0!</v>
      </c>
      <c r="G70" s="121" t="e">
        <f>'EU Marinas_Scenario_Calc'!L53</f>
        <v>#DIV/0!</v>
      </c>
      <c r="H70" s="121" t="e">
        <f>'EU Marinas_Scenario_Calc'!M53</f>
        <v>#DIV/0!</v>
      </c>
      <c r="I70" s="121" t="e">
        <f>'EU Marinas_Scenario_Calc'!N53</f>
        <v>#DIV/0!</v>
      </c>
      <c r="O70" s="68"/>
    </row>
    <row r="71" spans="1:15" x14ac:dyDescent="0.2">
      <c r="A71" s="68"/>
      <c r="C71" s="122" t="s">
        <v>153</v>
      </c>
      <c r="D71" s="122" t="s">
        <v>14</v>
      </c>
      <c r="E71" s="122">
        <v>30</v>
      </c>
      <c r="F71" s="121" t="e">
        <f>'EU Marinas_Scenario_Calc'!K54</f>
        <v>#DIV/0!</v>
      </c>
      <c r="G71" s="121" t="e">
        <f>'EU Marinas_Scenario_Calc'!L54</f>
        <v>#DIV/0!</v>
      </c>
      <c r="H71" s="121" t="e">
        <f>'EU Marinas_Scenario_Calc'!M54</f>
        <v>#DIV/0!</v>
      </c>
      <c r="I71" s="121" t="e">
        <f>'EU Marinas_Scenario_Calc'!N54</f>
        <v>#DIV/0!</v>
      </c>
      <c r="O71" s="68"/>
    </row>
    <row r="72" spans="1:15" x14ac:dyDescent="0.2">
      <c r="A72" s="68"/>
      <c r="C72" s="122" t="s">
        <v>154</v>
      </c>
      <c r="D72" s="122" t="s">
        <v>14</v>
      </c>
      <c r="E72" s="122">
        <v>34</v>
      </c>
      <c r="F72" s="121" t="e">
        <f>'EU Marinas_Scenario_Calc'!K55</f>
        <v>#DIV/0!</v>
      </c>
      <c r="G72" s="121" t="e">
        <f>'EU Marinas_Scenario_Calc'!L55</f>
        <v>#DIV/0!</v>
      </c>
      <c r="H72" s="121" t="e">
        <f>'EU Marinas_Scenario_Calc'!M55</f>
        <v>#DIV/0!</v>
      </c>
      <c r="I72" s="121" t="e">
        <f>'EU Marinas_Scenario_Calc'!N55</f>
        <v>#DIV/0!</v>
      </c>
      <c r="O72" s="68"/>
    </row>
    <row r="73" spans="1:15" x14ac:dyDescent="0.2">
      <c r="A73" s="68"/>
      <c r="C73" s="122" t="s">
        <v>155</v>
      </c>
      <c r="D73" s="122" t="s">
        <v>14</v>
      </c>
      <c r="E73" s="122">
        <v>40</v>
      </c>
      <c r="F73" s="121" t="e">
        <f>'EU Marinas_Scenario_Calc'!K56</f>
        <v>#DIV/0!</v>
      </c>
      <c r="G73" s="121" t="e">
        <f>'EU Marinas_Scenario_Calc'!L56</f>
        <v>#DIV/0!</v>
      </c>
      <c r="H73" s="121" t="e">
        <f>'EU Marinas_Scenario_Calc'!M56</f>
        <v>#DIV/0!</v>
      </c>
      <c r="I73" s="121" t="e">
        <f>'EU Marinas_Scenario_Calc'!N56</f>
        <v>#DIV/0!</v>
      </c>
      <c r="O73" s="68"/>
    </row>
    <row r="74" spans="1:15" x14ac:dyDescent="0.2">
      <c r="A74" s="68"/>
      <c r="C74" s="122" t="s">
        <v>156</v>
      </c>
      <c r="D74" s="122" t="s">
        <v>14</v>
      </c>
      <c r="E74" s="122">
        <v>42</v>
      </c>
      <c r="F74" s="121" t="e">
        <f>'EU Marinas_Scenario_Calc'!K57</f>
        <v>#DIV/0!</v>
      </c>
      <c r="G74" s="121" t="e">
        <f>'EU Marinas_Scenario_Calc'!L57</f>
        <v>#DIV/0!</v>
      </c>
      <c r="H74" s="121" t="e">
        <f>'EU Marinas_Scenario_Calc'!M57</f>
        <v>#DIV/0!</v>
      </c>
      <c r="I74" s="121" t="e">
        <f>'EU Marinas_Scenario_Calc'!N57</f>
        <v>#DIV/0!</v>
      </c>
      <c r="O74" s="68"/>
    </row>
    <row r="75" spans="1:15" x14ac:dyDescent="0.2">
      <c r="A75" s="68"/>
      <c r="C75" s="122" t="s">
        <v>157</v>
      </c>
      <c r="D75" s="122" t="s">
        <v>14</v>
      </c>
      <c r="E75" s="122">
        <v>44</v>
      </c>
      <c r="F75" s="121" t="e">
        <f>'EU Marinas_Scenario_Calc'!K58</f>
        <v>#DIV/0!</v>
      </c>
      <c r="G75" s="121" t="e">
        <f>'EU Marinas_Scenario_Calc'!L58</f>
        <v>#DIV/0!</v>
      </c>
      <c r="H75" s="121" t="e">
        <f>'EU Marinas_Scenario_Calc'!M58</f>
        <v>#DIV/0!</v>
      </c>
      <c r="I75" s="121" t="e">
        <f>'EU Marinas_Scenario_Calc'!N58</f>
        <v>#DIV/0!</v>
      </c>
      <c r="O75" s="68"/>
    </row>
    <row r="76" spans="1:15" x14ac:dyDescent="0.2">
      <c r="A76" s="68"/>
      <c r="C76" s="122" t="s">
        <v>158</v>
      </c>
      <c r="D76" s="122" t="s">
        <v>14</v>
      </c>
      <c r="E76" s="122">
        <v>45</v>
      </c>
      <c r="F76" s="121" t="e">
        <f>'EU Marinas_Scenario_Calc'!K59</f>
        <v>#DIV/0!</v>
      </c>
      <c r="G76" s="121" t="e">
        <f>'EU Marinas_Scenario_Calc'!L59</f>
        <v>#DIV/0!</v>
      </c>
      <c r="H76" s="121" t="e">
        <f>'EU Marinas_Scenario_Calc'!M59</f>
        <v>#DIV/0!</v>
      </c>
      <c r="I76" s="121" t="e">
        <f>'EU Marinas_Scenario_Calc'!N59</f>
        <v>#DIV/0!</v>
      </c>
      <c r="O76" s="68"/>
    </row>
    <row r="77" spans="1:15" x14ac:dyDescent="0.2">
      <c r="A77" s="68"/>
      <c r="C77" s="122" t="s">
        <v>159</v>
      </c>
      <c r="D77" s="122" t="s">
        <v>14</v>
      </c>
      <c r="E77" s="122">
        <v>46</v>
      </c>
      <c r="F77" s="121" t="e">
        <f>'EU Marinas_Scenario_Calc'!K60</f>
        <v>#DIV/0!</v>
      </c>
      <c r="G77" s="121" t="e">
        <f>'EU Marinas_Scenario_Calc'!L60</f>
        <v>#DIV/0!</v>
      </c>
      <c r="H77" s="121" t="e">
        <f>'EU Marinas_Scenario_Calc'!M60</f>
        <v>#DIV/0!</v>
      </c>
      <c r="I77" s="121" t="e">
        <f>'EU Marinas_Scenario_Calc'!N60</f>
        <v>#DIV/0!</v>
      </c>
      <c r="O77" s="68"/>
    </row>
    <row r="78" spans="1:15" x14ac:dyDescent="0.2">
      <c r="A78" s="68"/>
      <c r="C78" s="122" t="s">
        <v>160</v>
      </c>
      <c r="D78" s="122" t="s">
        <v>14</v>
      </c>
      <c r="E78" s="122">
        <v>48</v>
      </c>
      <c r="F78" s="121" t="e">
        <f>'EU Marinas_Scenario_Calc'!K61</f>
        <v>#DIV/0!</v>
      </c>
      <c r="G78" s="121" t="e">
        <f>'EU Marinas_Scenario_Calc'!L61</f>
        <v>#DIV/0!</v>
      </c>
      <c r="H78" s="121" t="e">
        <f>'EU Marinas_Scenario_Calc'!M61</f>
        <v>#DIV/0!</v>
      </c>
      <c r="I78" s="121" t="e">
        <f>'EU Marinas_Scenario_Calc'!N61</f>
        <v>#DIV/0!</v>
      </c>
      <c r="O78" s="68"/>
    </row>
    <row r="79" spans="1:15" x14ac:dyDescent="0.2">
      <c r="A79" s="68"/>
      <c r="C79" s="122" t="s">
        <v>161</v>
      </c>
      <c r="D79" s="122" t="s">
        <v>162</v>
      </c>
      <c r="E79" s="122">
        <v>1</v>
      </c>
      <c r="F79" s="121" t="e">
        <f>'EU Marinas_Scenario_Calc'!K62</f>
        <v>#DIV/0!</v>
      </c>
      <c r="G79" s="121" t="e">
        <f>'EU Marinas_Scenario_Calc'!L62</f>
        <v>#DIV/0!</v>
      </c>
      <c r="H79" s="121" t="e">
        <f>'EU Marinas_Scenario_Calc'!M62</f>
        <v>#DIV/0!</v>
      </c>
      <c r="I79" s="121" t="e">
        <f>'EU Marinas_Scenario_Calc'!N62</f>
        <v>#DIV/0!</v>
      </c>
      <c r="O79" s="68"/>
    </row>
    <row r="80" spans="1:15" x14ac:dyDescent="0.2">
      <c r="A80" s="68"/>
      <c r="C80" s="122" t="s">
        <v>163</v>
      </c>
      <c r="D80" s="122" t="s">
        <v>162</v>
      </c>
      <c r="E80" s="122">
        <v>2</v>
      </c>
      <c r="F80" s="121" t="e">
        <f>'EU Marinas_Scenario_Calc'!K63</f>
        <v>#DIV/0!</v>
      </c>
      <c r="G80" s="121" t="e">
        <f>'EU Marinas_Scenario_Calc'!L63</f>
        <v>#DIV/0!</v>
      </c>
      <c r="H80" s="121" t="e">
        <f>'EU Marinas_Scenario_Calc'!M63</f>
        <v>#DIV/0!</v>
      </c>
      <c r="I80" s="121" t="e">
        <f>'EU Marinas_Scenario_Calc'!N63</f>
        <v>#DIV/0!</v>
      </c>
      <c r="O80" s="68"/>
    </row>
    <row r="81" spans="1:15" x14ac:dyDescent="0.2">
      <c r="A81" s="68"/>
      <c r="C81" s="122" t="s">
        <v>164</v>
      </c>
      <c r="D81" s="122" t="s">
        <v>162</v>
      </c>
      <c r="E81" s="122">
        <v>3</v>
      </c>
      <c r="F81" s="121" t="e">
        <f>'EU Marinas_Scenario_Calc'!K64</f>
        <v>#DIV/0!</v>
      </c>
      <c r="G81" s="121" t="e">
        <f>'EU Marinas_Scenario_Calc'!L64</f>
        <v>#DIV/0!</v>
      </c>
      <c r="H81" s="121" t="e">
        <f>'EU Marinas_Scenario_Calc'!M64</f>
        <v>#DIV/0!</v>
      </c>
      <c r="I81" s="121" t="e">
        <f>'EU Marinas_Scenario_Calc'!N64</f>
        <v>#DIV/0!</v>
      </c>
      <c r="O81" s="68"/>
    </row>
    <row r="82" spans="1:15" x14ac:dyDescent="0.2">
      <c r="A82" s="68"/>
      <c r="C82" s="122" t="s">
        <v>165</v>
      </c>
      <c r="D82" s="122" t="s">
        <v>162</v>
      </c>
      <c r="E82" s="122">
        <v>4</v>
      </c>
      <c r="F82" s="121" t="e">
        <f>'EU Marinas_Scenario_Calc'!K65</f>
        <v>#DIV/0!</v>
      </c>
      <c r="G82" s="121" t="e">
        <f>'EU Marinas_Scenario_Calc'!L65</f>
        <v>#DIV/0!</v>
      </c>
      <c r="H82" s="121" t="e">
        <f>'EU Marinas_Scenario_Calc'!M65</f>
        <v>#DIV/0!</v>
      </c>
      <c r="I82" s="121" t="e">
        <f>'EU Marinas_Scenario_Calc'!N65</f>
        <v>#DIV/0!</v>
      </c>
      <c r="O82" s="68"/>
    </row>
    <row r="83" spans="1:15" x14ac:dyDescent="0.2">
      <c r="A83" s="68"/>
      <c r="C83" s="122" t="s">
        <v>166</v>
      </c>
      <c r="D83" s="122" t="s">
        <v>162</v>
      </c>
      <c r="E83" s="122">
        <v>5</v>
      </c>
      <c r="F83" s="121" t="e">
        <f>'EU Marinas_Scenario_Calc'!K66</f>
        <v>#DIV/0!</v>
      </c>
      <c r="G83" s="121" t="e">
        <f>'EU Marinas_Scenario_Calc'!L66</f>
        <v>#DIV/0!</v>
      </c>
      <c r="H83" s="121" t="e">
        <f>'EU Marinas_Scenario_Calc'!M66</f>
        <v>#DIV/0!</v>
      </c>
      <c r="I83" s="121" t="e">
        <f>'EU Marinas_Scenario_Calc'!N66</f>
        <v>#DIV/0!</v>
      </c>
      <c r="O83" s="68"/>
    </row>
    <row r="84" spans="1:15" s="96" customFormat="1" x14ac:dyDescent="0.2">
      <c r="A84" s="68"/>
      <c r="B84" s="3"/>
      <c r="C84" s="155" t="s">
        <v>174</v>
      </c>
      <c r="D84" s="156"/>
      <c r="E84" s="157"/>
      <c r="F84" s="121" t="e">
        <f>'Regulatory_ Marinas_Calc'!I21</f>
        <v>#DIV/0!</v>
      </c>
      <c r="G84" s="121" t="e">
        <f>'Regulatory_ Marinas_Calc'!J21</f>
        <v>#DIV/0!</v>
      </c>
      <c r="H84" s="121" t="e">
        <f>'Regulatory_ Marinas_Calc'!K21</f>
        <v>#DIV/0!</v>
      </c>
      <c r="I84" s="121" t="e">
        <f>'Regulatory_ Marinas_Calc'!L21</f>
        <v>#DIV/0!</v>
      </c>
      <c r="K84" s="3"/>
      <c r="O84" s="68"/>
    </row>
    <row r="85" spans="1:15" s="96" customFormat="1" x14ac:dyDescent="0.2">
      <c r="A85" s="68"/>
      <c r="B85" s="3"/>
      <c r="C85" s="158" t="s">
        <v>175</v>
      </c>
      <c r="D85" s="159"/>
      <c r="E85" s="160"/>
      <c r="F85" s="121" t="e">
        <f>'Regulatory_ Marinas_Calc'!I22</f>
        <v>#DIV/0!</v>
      </c>
      <c r="G85" s="121" t="e">
        <f>'Regulatory_ Marinas_Calc'!J22</f>
        <v>#DIV/0!</v>
      </c>
      <c r="H85" s="121" t="e">
        <f>'Regulatory_ Marinas_Calc'!K22</f>
        <v>#DIV/0!</v>
      </c>
      <c r="I85" s="121" t="e">
        <f>'Regulatory_ Marinas_Calc'!L22</f>
        <v>#DIV/0!</v>
      </c>
      <c r="K85" s="3"/>
      <c r="O85" s="68"/>
    </row>
    <row r="86" spans="1:15" s="96" customFormat="1" x14ac:dyDescent="0.2">
      <c r="A86" s="68"/>
      <c r="B86" s="3"/>
      <c r="C86" s="111"/>
      <c r="D86" s="111"/>
      <c r="E86" s="111"/>
      <c r="F86" s="112"/>
      <c r="G86" s="112"/>
      <c r="H86" s="112"/>
      <c r="I86" s="112"/>
      <c r="K86" s="3"/>
      <c r="O86" s="68"/>
    </row>
    <row r="87" spans="1:15" s="66" customFormat="1" x14ac:dyDescent="0.2">
      <c r="A87" s="68"/>
      <c r="C87" s="62" t="s">
        <v>84</v>
      </c>
      <c r="K87" s="3"/>
      <c r="O87" s="68"/>
    </row>
    <row r="88" spans="1:15" x14ac:dyDescent="0.2">
      <c r="A88" s="68"/>
      <c r="C88" t="s">
        <v>93</v>
      </c>
      <c r="O88" s="68"/>
    </row>
    <row r="89" spans="1:15" ht="105.95" customHeight="1" x14ac:dyDescent="0.2">
      <c r="A89" s="68"/>
      <c r="C89" s="64" t="s">
        <v>10</v>
      </c>
      <c r="D89" s="165" t="s">
        <v>11</v>
      </c>
      <c r="E89" s="166"/>
      <c r="F89" s="67" t="s">
        <v>61</v>
      </c>
      <c r="G89" s="67" t="s">
        <v>62</v>
      </c>
      <c r="H89" s="67" t="s">
        <v>63</v>
      </c>
      <c r="I89" s="67" t="s">
        <v>64</v>
      </c>
      <c r="O89" s="68"/>
    </row>
    <row r="90" spans="1:15" x14ac:dyDescent="0.2">
      <c r="A90" s="68"/>
      <c r="C90" s="64" t="s">
        <v>108</v>
      </c>
      <c r="D90" s="64" t="s">
        <v>109</v>
      </c>
      <c r="E90" s="64">
        <v>1</v>
      </c>
      <c r="F90" s="121" t="e">
        <f>'EU Marinas_Scenario_Calc'!S21</f>
        <v>#DIV/0!</v>
      </c>
      <c r="G90" s="121" t="e">
        <f>'EU Marinas_Scenario_Calc'!T21</f>
        <v>#DIV/0!</v>
      </c>
      <c r="H90" s="121" t="e">
        <f>'EU Marinas_Scenario_Calc'!U21</f>
        <v>#DIV/0!</v>
      </c>
      <c r="I90" s="121" t="e">
        <f>'EU Marinas_Scenario_Calc'!V21</f>
        <v>#DIV/0!</v>
      </c>
      <c r="O90" s="68"/>
    </row>
    <row r="91" spans="1:15" x14ac:dyDescent="0.2">
      <c r="A91" s="68"/>
      <c r="C91" s="64" t="s">
        <v>110</v>
      </c>
      <c r="D91" s="64" t="s">
        <v>109</v>
      </c>
      <c r="E91" s="64">
        <v>2</v>
      </c>
      <c r="F91" s="121" t="e">
        <f>'EU Marinas_Scenario_Calc'!S22</f>
        <v>#DIV/0!</v>
      </c>
      <c r="G91" s="121" t="e">
        <f>'EU Marinas_Scenario_Calc'!T22</f>
        <v>#DIV/0!</v>
      </c>
      <c r="H91" s="121" t="e">
        <f>'EU Marinas_Scenario_Calc'!U22</f>
        <v>#DIV/0!</v>
      </c>
      <c r="I91" s="121" t="e">
        <f>'EU Marinas_Scenario_Calc'!V22</f>
        <v>#DIV/0!</v>
      </c>
      <c r="O91" s="68"/>
    </row>
    <row r="92" spans="1:15" x14ac:dyDescent="0.2">
      <c r="A92" s="68"/>
      <c r="C92" s="64" t="s">
        <v>111</v>
      </c>
      <c r="D92" s="64" t="s">
        <v>109</v>
      </c>
      <c r="E92" s="64">
        <v>3</v>
      </c>
      <c r="F92" s="121" t="e">
        <f>'EU Marinas_Scenario_Calc'!S23</f>
        <v>#DIV/0!</v>
      </c>
      <c r="G92" s="121" t="e">
        <f>'EU Marinas_Scenario_Calc'!T23</f>
        <v>#DIV/0!</v>
      </c>
      <c r="H92" s="121" t="e">
        <f>'EU Marinas_Scenario_Calc'!U23</f>
        <v>#DIV/0!</v>
      </c>
      <c r="I92" s="121" t="e">
        <f>'EU Marinas_Scenario_Calc'!V23</f>
        <v>#DIV/0!</v>
      </c>
      <c r="O92" s="68"/>
    </row>
    <row r="93" spans="1:15" x14ac:dyDescent="0.2">
      <c r="A93" s="68"/>
      <c r="C93" s="64" t="s">
        <v>112</v>
      </c>
      <c r="D93" s="64" t="s">
        <v>109</v>
      </c>
      <c r="E93" s="64">
        <v>4</v>
      </c>
      <c r="F93" s="121" t="e">
        <f>'EU Marinas_Scenario_Calc'!S24</f>
        <v>#DIV/0!</v>
      </c>
      <c r="G93" s="121" t="e">
        <f>'EU Marinas_Scenario_Calc'!T24</f>
        <v>#DIV/0!</v>
      </c>
      <c r="H93" s="121" t="e">
        <f>'EU Marinas_Scenario_Calc'!U24</f>
        <v>#DIV/0!</v>
      </c>
      <c r="I93" s="121" t="e">
        <f>'EU Marinas_Scenario_Calc'!V24</f>
        <v>#DIV/0!</v>
      </c>
      <c r="O93" s="68"/>
    </row>
    <row r="94" spans="1:15" x14ac:dyDescent="0.2">
      <c r="A94" s="68"/>
      <c r="C94" s="64" t="s">
        <v>113</v>
      </c>
      <c r="D94" s="64" t="s">
        <v>109</v>
      </c>
      <c r="E94" s="64">
        <v>5</v>
      </c>
      <c r="F94" s="121" t="e">
        <f>'EU Marinas_Scenario_Calc'!S25</f>
        <v>#DIV/0!</v>
      </c>
      <c r="G94" s="121" t="e">
        <f>'EU Marinas_Scenario_Calc'!T25</f>
        <v>#DIV/0!</v>
      </c>
      <c r="H94" s="121" t="e">
        <f>'EU Marinas_Scenario_Calc'!U25</f>
        <v>#DIV/0!</v>
      </c>
      <c r="I94" s="121" t="e">
        <f>'EU Marinas_Scenario_Calc'!V25</f>
        <v>#DIV/0!</v>
      </c>
      <c r="O94" s="68"/>
    </row>
    <row r="95" spans="1:15" x14ac:dyDescent="0.2">
      <c r="A95" s="68"/>
      <c r="C95" s="64" t="s">
        <v>114</v>
      </c>
      <c r="D95" s="64" t="s">
        <v>109</v>
      </c>
      <c r="E95" s="64">
        <v>6</v>
      </c>
      <c r="F95" s="121" t="e">
        <f>'EU Marinas_Scenario_Calc'!S26</f>
        <v>#DIV/0!</v>
      </c>
      <c r="G95" s="121" t="e">
        <f>'EU Marinas_Scenario_Calc'!T26</f>
        <v>#DIV/0!</v>
      </c>
      <c r="H95" s="121" t="e">
        <f>'EU Marinas_Scenario_Calc'!U26</f>
        <v>#DIV/0!</v>
      </c>
      <c r="I95" s="121" t="e">
        <f>'EU Marinas_Scenario_Calc'!V26</f>
        <v>#DIV/0!</v>
      </c>
      <c r="O95" s="68"/>
    </row>
    <row r="96" spans="1:15" x14ac:dyDescent="0.2">
      <c r="A96" s="68"/>
      <c r="C96" s="64" t="s">
        <v>115</v>
      </c>
      <c r="D96" s="64" t="s">
        <v>109</v>
      </c>
      <c r="E96" s="64">
        <v>7</v>
      </c>
      <c r="F96" s="121" t="e">
        <f>'EU Marinas_Scenario_Calc'!S27</f>
        <v>#DIV/0!</v>
      </c>
      <c r="G96" s="121" t="e">
        <f>'EU Marinas_Scenario_Calc'!T27</f>
        <v>#DIV/0!</v>
      </c>
      <c r="H96" s="121" t="e">
        <f>'EU Marinas_Scenario_Calc'!U27</f>
        <v>#DIV/0!</v>
      </c>
      <c r="I96" s="121" t="e">
        <f>'EU Marinas_Scenario_Calc'!V27</f>
        <v>#DIV/0!</v>
      </c>
      <c r="O96" s="68"/>
    </row>
    <row r="97" spans="1:15" x14ac:dyDescent="0.2">
      <c r="A97" s="68"/>
      <c r="C97" s="64" t="s">
        <v>116</v>
      </c>
      <c r="D97" s="64" t="s">
        <v>117</v>
      </c>
      <c r="E97" s="64">
        <v>2</v>
      </c>
      <c r="F97" s="121" t="e">
        <f>'EU Marinas_Scenario_Calc'!S28</f>
        <v>#DIV/0!</v>
      </c>
      <c r="G97" s="121" t="e">
        <f>'EU Marinas_Scenario_Calc'!T28</f>
        <v>#DIV/0!</v>
      </c>
      <c r="H97" s="121" t="e">
        <f>'EU Marinas_Scenario_Calc'!U28</f>
        <v>#DIV/0!</v>
      </c>
      <c r="I97" s="121" t="e">
        <f>'EU Marinas_Scenario_Calc'!V28</f>
        <v>#DIV/0!</v>
      </c>
      <c r="O97" s="68"/>
    </row>
    <row r="98" spans="1:15" x14ac:dyDescent="0.2">
      <c r="A98" s="68"/>
      <c r="C98" s="64" t="s">
        <v>118</v>
      </c>
      <c r="D98" s="64" t="s">
        <v>117</v>
      </c>
      <c r="E98" s="64">
        <v>3</v>
      </c>
      <c r="F98" s="121" t="e">
        <f>'EU Marinas_Scenario_Calc'!S29</f>
        <v>#DIV/0!</v>
      </c>
      <c r="G98" s="121" t="e">
        <f>'EU Marinas_Scenario_Calc'!T29</f>
        <v>#DIV/0!</v>
      </c>
      <c r="H98" s="121" t="e">
        <f>'EU Marinas_Scenario_Calc'!U29</f>
        <v>#DIV/0!</v>
      </c>
      <c r="I98" s="121" t="e">
        <f>'EU Marinas_Scenario_Calc'!V29</f>
        <v>#DIV/0!</v>
      </c>
      <c r="O98" s="68"/>
    </row>
    <row r="99" spans="1:15" x14ac:dyDescent="0.2">
      <c r="A99" s="68"/>
      <c r="C99" s="64" t="s">
        <v>119</v>
      </c>
      <c r="D99" s="64" t="s">
        <v>117</v>
      </c>
      <c r="E99" s="64">
        <v>5</v>
      </c>
      <c r="F99" s="121" t="e">
        <f>'EU Marinas_Scenario_Calc'!S30</f>
        <v>#DIV/0!</v>
      </c>
      <c r="G99" s="121" t="e">
        <f>'EU Marinas_Scenario_Calc'!T30</f>
        <v>#DIV/0!</v>
      </c>
      <c r="H99" s="121" t="e">
        <f>'EU Marinas_Scenario_Calc'!U30</f>
        <v>#DIV/0!</v>
      </c>
      <c r="I99" s="121" t="e">
        <f>'EU Marinas_Scenario_Calc'!V30</f>
        <v>#DIV/0!</v>
      </c>
      <c r="O99" s="68"/>
    </row>
    <row r="100" spans="1:15" x14ac:dyDescent="0.2">
      <c r="A100" s="68"/>
      <c r="C100" s="64" t="s">
        <v>120</v>
      </c>
      <c r="D100" s="64" t="s">
        <v>117</v>
      </c>
      <c r="E100" s="64">
        <v>6</v>
      </c>
      <c r="F100" s="121" t="e">
        <f>'EU Marinas_Scenario_Calc'!S31</f>
        <v>#DIV/0!</v>
      </c>
      <c r="G100" s="121" t="e">
        <f>'EU Marinas_Scenario_Calc'!T31</f>
        <v>#DIV/0!</v>
      </c>
      <c r="H100" s="121" t="e">
        <f>'EU Marinas_Scenario_Calc'!U31</f>
        <v>#DIV/0!</v>
      </c>
      <c r="I100" s="121" t="e">
        <f>'EU Marinas_Scenario_Calc'!V31</f>
        <v>#DIV/0!</v>
      </c>
      <c r="O100" s="68"/>
    </row>
    <row r="101" spans="1:15" x14ac:dyDescent="0.2">
      <c r="A101" s="68"/>
      <c r="C101" s="64" t="s">
        <v>121</v>
      </c>
      <c r="D101" s="64" t="s">
        <v>117</v>
      </c>
      <c r="E101" s="64">
        <v>11</v>
      </c>
      <c r="F101" s="121" t="e">
        <f>'EU Marinas_Scenario_Calc'!S32</f>
        <v>#DIV/0!</v>
      </c>
      <c r="G101" s="121" t="e">
        <f>'EU Marinas_Scenario_Calc'!T32</f>
        <v>#DIV/0!</v>
      </c>
      <c r="H101" s="121" t="e">
        <f>'EU Marinas_Scenario_Calc'!U32</f>
        <v>#DIV/0!</v>
      </c>
      <c r="I101" s="121" t="e">
        <f>'EU Marinas_Scenario_Calc'!V32</f>
        <v>#DIV/0!</v>
      </c>
      <c r="O101" s="68"/>
    </row>
    <row r="102" spans="1:15" x14ac:dyDescent="0.2">
      <c r="A102" s="68"/>
      <c r="C102" s="64" t="s">
        <v>122</v>
      </c>
      <c r="D102" s="64" t="s">
        <v>117</v>
      </c>
      <c r="E102" s="64">
        <v>12</v>
      </c>
      <c r="F102" s="121" t="e">
        <f>'EU Marinas_Scenario_Calc'!S33</f>
        <v>#DIV/0!</v>
      </c>
      <c r="G102" s="121" t="e">
        <f>'EU Marinas_Scenario_Calc'!T33</f>
        <v>#DIV/0!</v>
      </c>
      <c r="H102" s="121" t="e">
        <f>'EU Marinas_Scenario_Calc'!U33</f>
        <v>#DIV/0!</v>
      </c>
      <c r="I102" s="121" t="e">
        <f>'EU Marinas_Scenario_Calc'!V33</f>
        <v>#DIV/0!</v>
      </c>
      <c r="O102" s="68"/>
    </row>
    <row r="103" spans="1:15" x14ac:dyDescent="0.2">
      <c r="A103" s="68"/>
      <c r="C103" s="64" t="s">
        <v>123</v>
      </c>
      <c r="D103" s="64" t="s">
        <v>13</v>
      </c>
      <c r="E103" s="64" t="s">
        <v>124</v>
      </c>
      <c r="F103" s="121" t="e">
        <f>'EU Marinas_Scenario_Calc'!S34</f>
        <v>#DIV/0!</v>
      </c>
      <c r="G103" s="121" t="e">
        <f>'EU Marinas_Scenario_Calc'!T34</f>
        <v>#DIV/0!</v>
      </c>
      <c r="H103" s="121" t="e">
        <f>'EU Marinas_Scenario_Calc'!U34</f>
        <v>#DIV/0!</v>
      </c>
      <c r="I103" s="121" t="e">
        <f>'EU Marinas_Scenario_Calc'!V34</f>
        <v>#DIV/0!</v>
      </c>
      <c r="O103" s="68"/>
    </row>
    <row r="104" spans="1:15" x14ac:dyDescent="0.2">
      <c r="A104" s="68"/>
      <c r="C104" s="64" t="s">
        <v>125</v>
      </c>
      <c r="D104" s="64" t="s">
        <v>13</v>
      </c>
      <c r="E104" s="64" t="s">
        <v>126</v>
      </c>
      <c r="F104" s="121" t="e">
        <f>'EU Marinas_Scenario_Calc'!S35</f>
        <v>#DIV/0!</v>
      </c>
      <c r="G104" s="121" t="e">
        <f>'EU Marinas_Scenario_Calc'!T35</f>
        <v>#DIV/0!</v>
      </c>
      <c r="H104" s="121" t="e">
        <f>'EU Marinas_Scenario_Calc'!U35</f>
        <v>#DIV/0!</v>
      </c>
      <c r="I104" s="121" t="e">
        <f>'EU Marinas_Scenario_Calc'!V35</f>
        <v>#DIV/0!</v>
      </c>
      <c r="O104" s="68"/>
    </row>
    <row r="105" spans="1:15" x14ac:dyDescent="0.2">
      <c r="A105" s="68"/>
      <c r="C105" s="64" t="s">
        <v>127</v>
      </c>
      <c r="D105" s="64" t="s">
        <v>13</v>
      </c>
      <c r="E105" s="64" t="s">
        <v>128</v>
      </c>
      <c r="F105" s="121" t="e">
        <f>'EU Marinas_Scenario_Calc'!S36</f>
        <v>#DIV/0!</v>
      </c>
      <c r="G105" s="121" t="e">
        <f>'EU Marinas_Scenario_Calc'!T36</f>
        <v>#DIV/0!</v>
      </c>
      <c r="H105" s="121" t="e">
        <f>'EU Marinas_Scenario_Calc'!U36</f>
        <v>#DIV/0!</v>
      </c>
      <c r="I105" s="121" t="e">
        <f>'EU Marinas_Scenario_Calc'!V36</f>
        <v>#DIV/0!</v>
      </c>
      <c r="O105" s="68"/>
    </row>
    <row r="106" spans="1:15" x14ac:dyDescent="0.2">
      <c r="A106" s="68"/>
      <c r="C106" s="64" t="s">
        <v>129</v>
      </c>
      <c r="D106" s="64" t="s">
        <v>13</v>
      </c>
      <c r="E106" s="64" t="s">
        <v>130</v>
      </c>
      <c r="F106" s="121" t="e">
        <f>'EU Marinas_Scenario_Calc'!S37</f>
        <v>#DIV/0!</v>
      </c>
      <c r="G106" s="121" t="e">
        <f>'EU Marinas_Scenario_Calc'!T37</f>
        <v>#DIV/0!</v>
      </c>
      <c r="H106" s="121" t="e">
        <f>'EU Marinas_Scenario_Calc'!U37</f>
        <v>#DIV/0!</v>
      </c>
      <c r="I106" s="121" t="e">
        <f>'EU Marinas_Scenario_Calc'!V37</f>
        <v>#DIV/0!</v>
      </c>
      <c r="O106" s="68"/>
    </row>
    <row r="107" spans="1:15" x14ac:dyDescent="0.2">
      <c r="A107" s="68"/>
      <c r="C107" s="64" t="s">
        <v>131</v>
      </c>
      <c r="D107" s="64" t="s">
        <v>13</v>
      </c>
      <c r="E107" s="64" t="s">
        <v>132</v>
      </c>
      <c r="F107" s="121" t="e">
        <f>'EU Marinas_Scenario_Calc'!S38</f>
        <v>#DIV/0!</v>
      </c>
      <c r="G107" s="121" t="e">
        <f>'EU Marinas_Scenario_Calc'!T38</f>
        <v>#DIV/0!</v>
      </c>
      <c r="H107" s="121" t="e">
        <f>'EU Marinas_Scenario_Calc'!U38</f>
        <v>#DIV/0!</v>
      </c>
      <c r="I107" s="121" t="e">
        <f>'EU Marinas_Scenario_Calc'!V38</f>
        <v>#DIV/0!</v>
      </c>
      <c r="O107" s="68"/>
    </row>
    <row r="108" spans="1:15" x14ac:dyDescent="0.2">
      <c r="A108" s="68"/>
      <c r="C108" s="64" t="s">
        <v>133</v>
      </c>
      <c r="D108" s="64" t="s">
        <v>13</v>
      </c>
      <c r="E108" s="64" t="s">
        <v>134</v>
      </c>
      <c r="F108" s="121" t="e">
        <f>'EU Marinas_Scenario_Calc'!S39</f>
        <v>#DIV/0!</v>
      </c>
      <c r="G108" s="121" t="e">
        <f>'EU Marinas_Scenario_Calc'!T39</f>
        <v>#DIV/0!</v>
      </c>
      <c r="H108" s="121" t="e">
        <f>'EU Marinas_Scenario_Calc'!U39</f>
        <v>#DIV/0!</v>
      </c>
      <c r="I108" s="121" t="e">
        <f>'EU Marinas_Scenario_Calc'!V39</f>
        <v>#DIV/0!</v>
      </c>
      <c r="O108" s="68"/>
    </row>
    <row r="109" spans="1:15" x14ac:dyDescent="0.2">
      <c r="A109" s="68"/>
      <c r="C109" s="64" t="s">
        <v>135</v>
      </c>
      <c r="D109" s="64" t="s">
        <v>13</v>
      </c>
      <c r="E109" s="64" t="s">
        <v>136</v>
      </c>
      <c r="F109" s="121" t="e">
        <f>'EU Marinas_Scenario_Calc'!S40</f>
        <v>#DIV/0!</v>
      </c>
      <c r="G109" s="121" t="e">
        <f>'EU Marinas_Scenario_Calc'!T40</f>
        <v>#DIV/0!</v>
      </c>
      <c r="H109" s="121" t="e">
        <f>'EU Marinas_Scenario_Calc'!U40</f>
        <v>#DIV/0!</v>
      </c>
      <c r="I109" s="121" t="e">
        <f>'EU Marinas_Scenario_Calc'!V40</f>
        <v>#DIV/0!</v>
      </c>
      <c r="O109" s="68"/>
    </row>
    <row r="110" spans="1:15" x14ac:dyDescent="0.2">
      <c r="A110" s="68"/>
      <c r="C110" s="64" t="s">
        <v>137</v>
      </c>
      <c r="D110" s="64" t="s">
        <v>13</v>
      </c>
      <c r="E110" s="64" t="s">
        <v>138</v>
      </c>
      <c r="F110" s="121" t="e">
        <f>'EU Marinas_Scenario_Calc'!S41</f>
        <v>#DIV/0!</v>
      </c>
      <c r="G110" s="121" t="e">
        <f>'EU Marinas_Scenario_Calc'!T41</f>
        <v>#DIV/0!</v>
      </c>
      <c r="H110" s="121" t="e">
        <f>'EU Marinas_Scenario_Calc'!U41</f>
        <v>#DIV/0!</v>
      </c>
      <c r="I110" s="121" t="e">
        <f>'EU Marinas_Scenario_Calc'!V41</f>
        <v>#DIV/0!</v>
      </c>
      <c r="O110" s="68"/>
    </row>
    <row r="111" spans="1:15" x14ac:dyDescent="0.2">
      <c r="A111" s="68"/>
      <c r="C111" s="64" t="s">
        <v>139</v>
      </c>
      <c r="D111" s="64" t="s">
        <v>13</v>
      </c>
      <c r="E111" s="64" t="s">
        <v>140</v>
      </c>
      <c r="F111" s="121" t="e">
        <f>'EU Marinas_Scenario_Calc'!S42</f>
        <v>#DIV/0!</v>
      </c>
      <c r="G111" s="121" t="e">
        <f>'EU Marinas_Scenario_Calc'!T42</f>
        <v>#DIV/0!</v>
      </c>
      <c r="H111" s="121" t="e">
        <f>'EU Marinas_Scenario_Calc'!U42</f>
        <v>#DIV/0!</v>
      </c>
      <c r="I111" s="121" t="e">
        <f>'EU Marinas_Scenario_Calc'!V42</f>
        <v>#DIV/0!</v>
      </c>
      <c r="O111" s="68"/>
    </row>
    <row r="112" spans="1:15" x14ac:dyDescent="0.2">
      <c r="A112" s="68"/>
      <c r="C112" s="64" t="s">
        <v>141</v>
      </c>
      <c r="D112" s="64" t="s">
        <v>13</v>
      </c>
      <c r="E112" s="64" t="s">
        <v>142</v>
      </c>
      <c r="F112" s="121" t="e">
        <f>'EU Marinas_Scenario_Calc'!S43</f>
        <v>#DIV/0!</v>
      </c>
      <c r="G112" s="121" t="e">
        <f>'EU Marinas_Scenario_Calc'!T43</f>
        <v>#DIV/0!</v>
      </c>
      <c r="H112" s="121" t="e">
        <f>'EU Marinas_Scenario_Calc'!U43</f>
        <v>#DIV/0!</v>
      </c>
      <c r="I112" s="121" t="e">
        <f>'EU Marinas_Scenario_Calc'!V43</f>
        <v>#DIV/0!</v>
      </c>
      <c r="O112" s="68"/>
    </row>
    <row r="113" spans="1:15" x14ac:dyDescent="0.2">
      <c r="A113" s="68"/>
      <c r="C113" s="64" t="s">
        <v>143</v>
      </c>
      <c r="D113" s="64" t="s">
        <v>14</v>
      </c>
      <c r="E113" s="64">
        <v>1</v>
      </c>
      <c r="F113" s="121" t="e">
        <f>'EU Marinas_Scenario_Calc'!S44</f>
        <v>#DIV/0!</v>
      </c>
      <c r="G113" s="121" t="e">
        <f>'EU Marinas_Scenario_Calc'!T44</f>
        <v>#DIV/0!</v>
      </c>
      <c r="H113" s="121" t="e">
        <f>'EU Marinas_Scenario_Calc'!U44</f>
        <v>#DIV/0!</v>
      </c>
      <c r="I113" s="121" t="e">
        <f>'EU Marinas_Scenario_Calc'!V44</f>
        <v>#DIV/0!</v>
      </c>
      <c r="O113" s="68"/>
    </row>
    <row r="114" spans="1:15" x14ac:dyDescent="0.2">
      <c r="A114" s="68"/>
      <c r="C114" s="64" t="s">
        <v>144</v>
      </c>
      <c r="D114" s="64" t="s">
        <v>14</v>
      </c>
      <c r="E114" s="64">
        <v>3</v>
      </c>
      <c r="F114" s="121" t="e">
        <f>'EU Marinas_Scenario_Calc'!S45</f>
        <v>#DIV/0!</v>
      </c>
      <c r="G114" s="121" t="e">
        <f>'EU Marinas_Scenario_Calc'!T45</f>
        <v>#DIV/0!</v>
      </c>
      <c r="H114" s="121" t="e">
        <f>'EU Marinas_Scenario_Calc'!U45</f>
        <v>#DIV/0!</v>
      </c>
      <c r="I114" s="121" t="e">
        <f>'EU Marinas_Scenario_Calc'!V45</f>
        <v>#DIV/0!</v>
      </c>
      <c r="O114" s="68"/>
    </row>
    <row r="115" spans="1:15" x14ac:dyDescent="0.2">
      <c r="A115" s="68"/>
      <c r="C115" s="64" t="s">
        <v>145</v>
      </c>
      <c r="D115" s="64" t="s">
        <v>14</v>
      </c>
      <c r="E115" s="64">
        <v>4</v>
      </c>
      <c r="F115" s="121" t="e">
        <f>'EU Marinas_Scenario_Calc'!S46</f>
        <v>#DIV/0!</v>
      </c>
      <c r="G115" s="121" t="e">
        <f>'EU Marinas_Scenario_Calc'!T46</f>
        <v>#DIV/0!</v>
      </c>
      <c r="H115" s="121" t="e">
        <f>'EU Marinas_Scenario_Calc'!U46</f>
        <v>#DIV/0!</v>
      </c>
      <c r="I115" s="121" t="e">
        <f>'EU Marinas_Scenario_Calc'!V46</f>
        <v>#DIV/0!</v>
      </c>
      <c r="O115" s="68"/>
    </row>
    <row r="116" spans="1:15" x14ac:dyDescent="0.2">
      <c r="A116" s="68"/>
      <c r="C116" s="64" t="s">
        <v>146</v>
      </c>
      <c r="D116" s="64" t="s">
        <v>14</v>
      </c>
      <c r="E116" s="64">
        <v>6</v>
      </c>
      <c r="F116" s="121" t="e">
        <f>'EU Marinas_Scenario_Calc'!S47</f>
        <v>#DIV/0!</v>
      </c>
      <c r="G116" s="121" t="e">
        <f>'EU Marinas_Scenario_Calc'!T47</f>
        <v>#DIV/0!</v>
      </c>
      <c r="H116" s="121" t="e">
        <f>'EU Marinas_Scenario_Calc'!U47</f>
        <v>#DIV/0!</v>
      </c>
      <c r="I116" s="121" t="e">
        <f>'EU Marinas_Scenario_Calc'!V47</f>
        <v>#DIV/0!</v>
      </c>
      <c r="O116" s="68"/>
    </row>
    <row r="117" spans="1:15" x14ac:dyDescent="0.2">
      <c r="A117" s="68"/>
      <c r="C117" s="64" t="s">
        <v>147</v>
      </c>
      <c r="D117" s="64" t="s">
        <v>14</v>
      </c>
      <c r="E117" s="64">
        <v>7</v>
      </c>
      <c r="F117" s="121" t="e">
        <f>'EU Marinas_Scenario_Calc'!S48</f>
        <v>#DIV/0!</v>
      </c>
      <c r="G117" s="121" t="e">
        <f>'EU Marinas_Scenario_Calc'!T48</f>
        <v>#DIV/0!</v>
      </c>
      <c r="H117" s="121" t="e">
        <f>'EU Marinas_Scenario_Calc'!U48</f>
        <v>#DIV/0!</v>
      </c>
      <c r="I117" s="121" t="e">
        <f>'EU Marinas_Scenario_Calc'!V48</f>
        <v>#DIV/0!</v>
      </c>
      <c r="O117" s="68"/>
    </row>
    <row r="118" spans="1:15" x14ac:dyDescent="0.2">
      <c r="A118" s="68"/>
      <c r="C118" s="64" t="s">
        <v>148</v>
      </c>
      <c r="D118" s="64" t="s">
        <v>14</v>
      </c>
      <c r="E118" s="64">
        <v>8</v>
      </c>
      <c r="F118" s="121" t="e">
        <f>'EU Marinas_Scenario_Calc'!S49</f>
        <v>#DIV/0!</v>
      </c>
      <c r="G118" s="121" t="e">
        <f>'EU Marinas_Scenario_Calc'!T49</f>
        <v>#DIV/0!</v>
      </c>
      <c r="H118" s="121" t="e">
        <f>'EU Marinas_Scenario_Calc'!U49</f>
        <v>#DIV/0!</v>
      </c>
      <c r="I118" s="121" t="e">
        <f>'EU Marinas_Scenario_Calc'!V49</f>
        <v>#DIV/0!</v>
      </c>
      <c r="O118" s="68"/>
    </row>
    <row r="119" spans="1:15" x14ac:dyDescent="0.2">
      <c r="A119" s="68"/>
      <c r="C119" s="64" t="s">
        <v>149</v>
      </c>
      <c r="D119" s="64" t="s">
        <v>14</v>
      </c>
      <c r="E119" s="64">
        <v>14</v>
      </c>
      <c r="F119" s="121" t="e">
        <f>'EU Marinas_Scenario_Calc'!S50</f>
        <v>#DIV/0!</v>
      </c>
      <c r="G119" s="121" t="e">
        <f>'EU Marinas_Scenario_Calc'!T50</f>
        <v>#DIV/0!</v>
      </c>
      <c r="H119" s="121" t="e">
        <f>'EU Marinas_Scenario_Calc'!U50</f>
        <v>#DIV/0!</v>
      </c>
      <c r="I119" s="121" t="e">
        <f>'EU Marinas_Scenario_Calc'!V50</f>
        <v>#DIV/0!</v>
      </c>
      <c r="O119" s="68"/>
    </row>
    <row r="120" spans="1:15" x14ac:dyDescent="0.2">
      <c r="A120" s="68"/>
      <c r="C120" s="64" t="s">
        <v>150</v>
      </c>
      <c r="D120" s="64" t="s">
        <v>14</v>
      </c>
      <c r="E120" s="64">
        <v>17</v>
      </c>
      <c r="F120" s="121" t="e">
        <f>'EU Marinas_Scenario_Calc'!S51</f>
        <v>#DIV/0!</v>
      </c>
      <c r="G120" s="121" t="e">
        <f>'EU Marinas_Scenario_Calc'!T51</f>
        <v>#DIV/0!</v>
      </c>
      <c r="H120" s="121" t="e">
        <f>'EU Marinas_Scenario_Calc'!U51</f>
        <v>#DIV/0!</v>
      </c>
      <c r="I120" s="121" t="e">
        <f>'EU Marinas_Scenario_Calc'!V51</f>
        <v>#DIV/0!</v>
      </c>
      <c r="O120" s="68"/>
    </row>
    <row r="121" spans="1:15" x14ac:dyDescent="0.2">
      <c r="A121" s="68"/>
      <c r="C121" s="64" t="s">
        <v>151</v>
      </c>
      <c r="D121" s="64" t="s">
        <v>14</v>
      </c>
      <c r="E121" s="64">
        <v>21</v>
      </c>
      <c r="F121" s="121" t="e">
        <f>'EU Marinas_Scenario_Calc'!S52</f>
        <v>#DIV/0!</v>
      </c>
      <c r="G121" s="121" t="e">
        <f>'EU Marinas_Scenario_Calc'!T52</f>
        <v>#DIV/0!</v>
      </c>
      <c r="H121" s="121" t="e">
        <f>'EU Marinas_Scenario_Calc'!U52</f>
        <v>#DIV/0!</v>
      </c>
      <c r="I121" s="121" t="e">
        <f>'EU Marinas_Scenario_Calc'!V52</f>
        <v>#DIV/0!</v>
      </c>
      <c r="O121" s="68"/>
    </row>
    <row r="122" spans="1:15" x14ac:dyDescent="0.2">
      <c r="A122" s="68"/>
      <c r="C122" s="64" t="s">
        <v>152</v>
      </c>
      <c r="D122" s="64" t="s">
        <v>14</v>
      </c>
      <c r="E122" s="64">
        <v>26</v>
      </c>
      <c r="F122" s="121" t="e">
        <f>'EU Marinas_Scenario_Calc'!S53</f>
        <v>#DIV/0!</v>
      </c>
      <c r="G122" s="121" t="e">
        <f>'EU Marinas_Scenario_Calc'!T53</f>
        <v>#DIV/0!</v>
      </c>
      <c r="H122" s="121" t="e">
        <f>'EU Marinas_Scenario_Calc'!U53</f>
        <v>#DIV/0!</v>
      </c>
      <c r="I122" s="121" t="e">
        <f>'EU Marinas_Scenario_Calc'!V53</f>
        <v>#DIV/0!</v>
      </c>
      <c r="O122" s="68"/>
    </row>
    <row r="123" spans="1:15" x14ac:dyDescent="0.2">
      <c r="A123" s="68"/>
      <c r="C123" s="64" t="s">
        <v>153</v>
      </c>
      <c r="D123" s="64" t="s">
        <v>14</v>
      </c>
      <c r="E123" s="64">
        <v>30</v>
      </c>
      <c r="F123" s="121" t="e">
        <f>'EU Marinas_Scenario_Calc'!S54</f>
        <v>#DIV/0!</v>
      </c>
      <c r="G123" s="121" t="e">
        <f>'EU Marinas_Scenario_Calc'!T54</f>
        <v>#DIV/0!</v>
      </c>
      <c r="H123" s="121" t="e">
        <f>'EU Marinas_Scenario_Calc'!U54</f>
        <v>#DIV/0!</v>
      </c>
      <c r="I123" s="121" t="e">
        <f>'EU Marinas_Scenario_Calc'!V54</f>
        <v>#DIV/0!</v>
      </c>
      <c r="O123" s="68"/>
    </row>
    <row r="124" spans="1:15" x14ac:dyDescent="0.2">
      <c r="A124" s="68"/>
      <c r="C124" s="64" t="s">
        <v>154</v>
      </c>
      <c r="D124" s="64" t="s">
        <v>14</v>
      </c>
      <c r="E124" s="64">
        <v>34</v>
      </c>
      <c r="F124" s="121" t="e">
        <f>'EU Marinas_Scenario_Calc'!S55</f>
        <v>#DIV/0!</v>
      </c>
      <c r="G124" s="121" t="e">
        <f>'EU Marinas_Scenario_Calc'!T55</f>
        <v>#DIV/0!</v>
      </c>
      <c r="H124" s="121" t="e">
        <f>'EU Marinas_Scenario_Calc'!U55</f>
        <v>#DIV/0!</v>
      </c>
      <c r="I124" s="121" t="e">
        <f>'EU Marinas_Scenario_Calc'!V55</f>
        <v>#DIV/0!</v>
      </c>
      <c r="O124" s="68"/>
    </row>
    <row r="125" spans="1:15" x14ac:dyDescent="0.2">
      <c r="A125" s="68"/>
      <c r="C125" s="64" t="s">
        <v>155</v>
      </c>
      <c r="D125" s="64" t="s">
        <v>14</v>
      </c>
      <c r="E125" s="64">
        <v>40</v>
      </c>
      <c r="F125" s="121" t="e">
        <f>'EU Marinas_Scenario_Calc'!S56</f>
        <v>#DIV/0!</v>
      </c>
      <c r="G125" s="121" t="e">
        <f>'EU Marinas_Scenario_Calc'!T56</f>
        <v>#DIV/0!</v>
      </c>
      <c r="H125" s="121" t="e">
        <f>'EU Marinas_Scenario_Calc'!U56</f>
        <v>#DIV/0!</v>
      </c>
      <c r="I125" s="121" t="e">
        <f>'EU Marinas_Scenario_Calc'!V56</f>
        <v>#DIV/0!</v>
      </c>
      <c r="O125" s="68"/>
    </row>
    <row r="126" spans="1:15" x14ac:dyDescent="0.2">
      <c r="A126" s="68"/>
      <c r="C126" s="64" t="s">
        <v>156</v>
      </c>
      <c r="D126" s="64" t="s">
        <v>14</v>
      </c>
      <c r="E126" s="64">
        <v>42</v>
      </c>
      <c r="F126" s="121" t="e">
        <f>'EU Marinas_Scenario_Calc'!S57</f>
        <v>#DIV/0!</v>
      </c>
      <c r="G126" s="121" t="e">
        <f>'EU Marinas_Scenario_Calc'!T57</f>
        <v>#DIV/0!</v>
      </c>
      <c r="H126" s="121" t="e">
        <f>'EU Marinas_Scenario_Calc'!U57</f>
        <v>#DIV/0!</v>
      </c>
      <c r="I126" s="121" t="e">
        <f>'EU Marinas_Scenario_Calc'!V57</f>
        <v>#DIV/0!</v>
      </c>
      <c r="O126" s="68"/>
    </row>
    <row r="127" spans="1:15" x14ac:dyDescent="0.2">
      <c r="A127" s="68"/>
      <c r="C127" s="64" t="s">
        <v>157</v>
      </c>
      <c r="D127" s="64" t="s">
        <v>14</v>
      </c>
      <c r="E127" s="64">
        <v>44</v>
      </c>
      <c r="F127" s="121" t="e">
        <f>'EU Marinas_Scenario_Calc'!S58</f>
        <v>#DIV/0!</v>
      </c>
      <c r="G127" s="121" t="e">
        <f>'EU Marinas_Scenario_Calc'!T58</f>
        <v>#DIV/0!</v>
      </c>
      <c r="H127" s="121" t="e">
        <f>'EU Marinas_Scenario_Calc'!U58</f>
        <v>#DIV/0!</v>
      </c>
      <c r="I127" s="121" t="e">
        <f>'EU Marinas_Scenario_Calc'!V58</f>
        <v>#DIV/0!</v>
      </c>
      <c r="O127" s="68"/>
    </row>
    <row r="128" spans="1:15" x14ac:dyDescent="0.2">
      <c r="A128" s="68"/>
      <c r="C128" s="64" t="s">
        <v>158</v>
      </c>
      <c r="D128" s="64" t="s">
        <v>14</v>
      </c>
      <c r="E128" s="64">
        <v>45</v>
      </c>
      <c r="F128" s="121" t="e">
        <f>'EU Marinas_Scenario_Calc'!S59</f>
        <v>#DIV/0!</v>
      </c>
      <c r="G128" s="121" t="e">
        <f>'EU Marinas_Scenario_Calc'!T59</f>
        <v>#DIV/0!</v>
      </c>
      <c r="H128" s="121" t="e">
        <f>'EU Marinas_Scenario_Calc'!U59</f>
        <v>#DIV/0!</v>
      </c>
      <c r="I128" s="121" t="e">
        <f>'EU Marinas_Scenario_Calc'!V59</f>
        <v>#DIV/0!</v>
      </c>
      <c r="O128" s="68"/>
    </row>
    <row r="129" spans="1:15" x14ac:dyDescent="0.2">
      <c r="A129" s="68"/>
      <c r="C129" s="64" t="s">
        <v>159</v>
      </c>
      <c r="D129" s="64" t="s">
        <v>14</v>
      </c>
      <c r="E129" s="64">
        <v>46</v>
      </c>
      <c r="F129" s="121" t="e">
        <f>'EU Marinas_Scenario_Calc'!S60</f>
        <v>#DIV/0!</v>
      </c>
      <c r="G129" s="121" t="e">
        <f>'EU Marinas_Scenario_Calc'!T60</f>
        <v>#DIV/0!</v>
      </c>
      <c r="H129" s="121" t="e">
        <f>'EU Marinas_Scenario_Calc'!U60</f>
        <v>#DIV/0!</v>
      </c>
      <c r="I129" s="121" t="e">
        <f>'EU Marinas_Scenario_Calc'!V60</f>
        <v>#DIV/0!</v>
      </c>
      <c r="O129" s="68"/>
    </row>
    <row r="130" spans="1:15" x14ac:dyDescent="0.2">
      <c r="A130" s="68"/>
      <c r="C130" s="64" t="s">
        <v>160</v>
      </c>
      <c r="D130" s="64" t="s">
        <v>14</v>
      </c>
      <c r="E130" s="64">
        <v>48</v>
      </c>
      <c r="F130" s="121" t="e">
        <f>'EU Marinas_Scenario_Calc'!S61</f>
        <v>#DIV/0!</v>
      </c>
      <c r="G130" s="121" t="e">
        <f>'EU Marinas_Scenario_Calc'!T61</f>
        <v>#DIV/0!</v>
      </c>
      <c r="H130" s="121" t="e">
        <f>'EU Marinas_Scenario_Calc'!U61</f>
        <v>#DIV/0!</v>
      </c>
      <c r="I130" s="121" t="e">
        <f>'EU Marinas_Scenario_Calc'!V61</f>
        <v>#DIV/0!</v>
      </c>
      <c r="O130" s="68"/>
    </row>
    <row r="131" spans="1:15" x14ac:dyDescent="0.2">
      <c r="A131" s="68"/>
      <c r="C131" s="64" t="s">
        <v>161</v>
      </c>
      <c r="D131" s="64" t="s">
        <v>162</v>
      </c>
      <c r="E131" s="64">
        <v>1</v>
      </c>
      <c r="F131" s="121" t="e">
        <f>'EU Marinas_Scenario_Calc'!S62</f>
        <v>#DIV/0!</v>
      </c>
      <c r="G131" s="121" t="e">
        <f>'EU Marinas_Scenario_Calc'!T62</f>
        <v>#DIV/0!</v>
      </c>
      <c r="H131" s="121" t="e">
        <f>'EU Marinas_Scenario_Calc'!U62</f>
        <v>#DIV/0!</v>
      </c>
      <c r="I131" s="121" t="e">
        <f>'EU Marinas_Scenario_Calc'!V62</f>
        <v>#DIV/0!</v>
      </c>
      <c r="O131" s="68"/>
    </row>
    <row r="132" spans="1:15" x14ac:dyDescent="0.2">
      <c r="A132" s="68"/>
      <c r="C132" s="64" t="s">
        <v>163</v>
      </c>
      <c r="D132" s="64" t="s">
        <v>162</v>
      </c>
      <c r="E132" s="64">
        <v>2</v>
      </c>
      <c r="F132" s="121" t="e">
        <f>'EU Marinas_Scenario_Calc'!S63</f>
        <v>#DIV/0!</v>
      </c>
      <c r="G132" s="121" t="e">
        <f>'EU Marinas_Scenario_Calc'!T63</f>
        <v>#DIV/0!</v>
      </c>
      <c r="H132" s="121" t="e">
        <f>'EU Marinas_Scenario_Calc'!U63</f>
        <v>#DIV/0!</v>
      </c>
      <c r="I132" s="121" t="e">
        <f>'EU Marinas_Scenario_Calc'!V63</f>
        <v>#DIV/0!</v>
      </c>
      <c r="O132" s="68"/>
    </row>
    <row r="133" spans="1:15" x14ac:dyDescent="0.2">
      <c r="A133" s="68"/>
      <c r="C133" s="64" t="s">
        <v>164</v>
      </c>
      <c r="D133" s="64" t="s">
        <v>162</v>
      </c>
      <c r="E133" s="64">
        <v>3</v>
      </c>
      <c r="F133" s="121" t="e">
        <f>'EU Marinas_Scenario_Calc'!S64</f>
        <v>#DIV/0!</v>
      </c>
      <c r="G133" s="121" t="e">
        <f>'EU Marinas_Scenario_Calc'!T64</f>
        <v>#DIV/0!</v>
      </c>
      <c r="H133" s="121" t="e">
        <f>'EU Marinas_Scenario_Calc'!U64</f>
        <v>#DIV/0!</v>
      </c>
      <c r="I133" s="121" t="e">
        <f>'EU Marinas_Scenario_Calc'!V64</f>
        <v>#DIV/0!</v>
      </c>
      <c r="O133" s="68"/>
    </row>
    <row r="134" spans="1:15" x14ac:dyDescent="0.2">
      <c r="A134" s="68"/>
      <c r="C134" s="64" t="s">
        <v>165</v>
      </c>
      <c r="D134" s="64" t="s">
        <v>162</v>
      </c>
      <c r="E134" s="64">
        <v>4</v>
      </c>
      <c r="F134" s="121" t="e">
        <f>'EU Marinas_Scenario_Calc'!S65</f>
        <v>#DIV/0!</v>
      </c>
      <c r="G134" s="121" t="e">
        <f>'EU Marinas_Scenario_Calc'!T65</f>
        <v>#DIV/0!</v>
      </c>
      <c r="H134" s="121" t="e">
        <f>'EU Marinas_Scenario_Calc'!U65</f>
        <v>#DIV/0!</v>
      </c>
      <c r="I134" s="121" t="e">
        <f>'EU Marinas_Scenario_Calc'!V65</f>
        <v>#DIV/0!</v>
      </c>
      <c r="O134" s="68"/>
    </row>
    <row r="135" spans="1:15" x14ac:dyDescent="0.2">
      <c r="A135" s="68"/>
      <c r="C135" s="64" t="s">
        <v>166</v>
      </c>
      <c r="D135" s="64" t="s">
        <v>162</v>
      </c>
      <c r="E135" s="64">
        <v>5</v>
      </c>
      <c r="F135" s="121" t="e">
        <f>'EU Marinas_Scenario_Calc'!S66</f>
        <v>#DIV/0!</v>
      </c>
      <c r="G135" s="121" t="e">
        <f>'EU Marinas_Scenario_Calc'!T66</f>
        <v>#DIV/0!</v>
      </c>
      <c r="H135" s="121" t="e">
        <f>'EU Marinas_Scenario_Calc'!U66</f>
        <v>#DIV/0!</v>
      </c>
      <c r="I135" s="121" t="e">
        <f>'EU Marinas_Scenario_Calc'!V66</f>
        <v>#DIV/0!</v>
      </c>
      <c r="O135" s="68"/>
    </row>
    <row r="136" spans="1:15" s="92" customFormat="1" x14ac:dyDescent="0.2">
      <c r="A136" s="68"/>
      <c r="B136" s="3"/>
      <c r="C136" s="161" t="s">
        <v>174</v>
      </c>
      <c r="D136" s="161"/>
      <c r="E136" s="161"/>
      <c r="F136" s="121" t="e">
        <f>'Regulatory_ Marinas_Calc'!Q21</f>
        <v>#DIV/0!</v>
      </c>
      <c r="G136" s="121" t="e">
        <f>'Regulatory_ Marinas_Calc'!R21</f>
        <v>#DIV/0!</v>
      </c>
      <c r="H136" s="121" t="e">
        <f>'Regulatory_ Marinas_Calc'!S21</f>
        <v>#DIV/0!</v>
      </c>
      <c r="I136" s="121" t="e">
        <f>'Regulatory_ Marinas_Calc'!T21</f>
        <v>#DIV/0!</v>
      </c>
      <c r="K136" s="3"/>
      <c r="O136" s="68"/>
    </row>
    <row r="137" spans="1:15" s="96" customFormat="1" x14ac:dyDescent="0.2">
      <c r="A137" s="68"/>
      <c r="B137" s="3"/>
      <c r="C137" s="161" t="s">
        <v>175</v>
      </c>
      <c r="D137" s="161"/>
      <c r="E137" s="161"/>
      <c r="F137" s="121" t="e">
        <f>'Regulatory_ Marinas_Calc'!Q22</f>
        <v>#DIV/0!</v>
      </c>
      <c r="G137" s="121" t="e">
        <f>'Regulatory_ Marinas_Calc'!R22</f>
        <v>#DIV/0!</v>
      </c>
      <c r="H137" s="121" t="e">
        <f>'Regulatory_ Marinas_Calc'!S22</f>
        <v>#DIV/0!</v>
      </c>
      <c r="I137" s="121" t="e">
        <f>'Regulatory_ Marinas_Calc'!T22</f>
        <v>#DIV/0!</v>
      </c>
      <c r="K137" s="3"/>
      <c r="O137" s="68"/>
    </row>
    <row r="138" spans="1:15" x14ac:dyDescent="0.2">
      <c r="A138" s="68"/>
      <c r="B138"/>
      <c r="O138" s="68"/>
    </row>
    <row r="139" spans="1:15" x14ac:dyDescent="0.2">
      <c r="A139" s="68"/>
      <c r="B139" s="68"/>
      <c r="C139" s="68"/>
      <c r="D139" s="68"/>
      <c r="E139" s="68"/>
      <c r="F139" s="68"/>
      <c r="G139" s="68"/>
      <c r="H139" s="68"/>
      <c r="I139" s="68"/>
      <c r="J139" s="68"/>
      <c r="K139" s="68"/>
      <c r="L139" s="68"/>
      <c r="M139" s="68"/>
      <c r="N139" s="68"/>
      <c r="O139" s="68"/>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C137:E137"/>
    <mergeCell ref="C9:G9"/>
    <mergeCell ref="C11:G11"/>
    <mergeCell ref="C15:G15"/>
    <mergeCell ref="C21:G21"/>
    <mergeCell ref="C18:F18"/>
    <mergeCell ref="C19:F19"/>
    <mergeCell ref="C16:F16"/>
    <mergeCell ref="C17:F17"/>
    <mergeCell ref="C28:E28"/>
    <mergeCell ref="C29:E29"/>
    <mergeCell ref="C30:E30"/>
    <mergeCell ref="C31:E31"/>
    <mergeCell ref="C136:E136"/>
    <mergeCell ref="D37:E37"/>
    <mergeCell ref="D89:E89"/>
    <mergeCell ref="C84:E84"/>
    <mergeCell ref="C85:E85"/>
  </mergeCells>
  <conditionalFormatting sqref="F90:I137">
    <cfRule type="cellIs" dxfId="6" priority="2"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3.875" style="3" customWidth="1"/>
    <col min="4" max="4" width="6.375" style="3" customWidth="1"/>
    <col min="5" max="5" width="25.625" style="3" customWidth="1"/>
    <col min="6" max="13" width="11.625" style="3" customWidth="1"/>
    <col min="14" max="16384" width="9" style="3"/>
  </cols>
  <sheetData>
    <row r="2" spans="2:14" ht="21" thickBot="1" x14ac:dyDescent="0.35">
      <c r="B2" s="168" t="s">
        <v>105</v>
      </c>
      <c r="C2" s="168"/>
      <c r="D2" s="168"/>
      <c r="E2" s="168"/>
      <c r="F2" s="168"/>
      <c r="G2" s="168"/>
      <c r="H2" s="168"/>
      <c r="I2" s="168"/>
      <c r="J2" s="168"/>
      <c r="K2" s="168"/>
      <c r="L2" s="168"/>
      <c r="M2" s="168"/>
      <c r="N2" s="168"/>
    </row>
    <row r="3" spans="2:14" ht="13.5" thickTop="1" x14ac:dyDescent="0.2">
      <c r="B3" s="171" t="str">
        <f>Tooltype</f>
        <v>Freshwater calculator tool</v>
      </c>
      <c r="C3" s="171"/>
      <c r="D3" s="171"/>
      <c r="E3"/>
      <c r="F3"/>
      <c r="G3"/>
      <c r="H3"/>
      <c r="I3"/>
      <c r="J3"/>
      <c r="K3"/>
      <c r="L3"/>
      <c r="M3"/>
    </row>
    <row r="4" spans="2:14" ht="15" x14ac:dyDescent="0.2">
      <c r="B4" s="170" t="s">
        <v>90</v>
      </c>
      <c r="C4" s="170"/>
      <c r="D4" s="170"/>
      <c r="E4" s="170"/>
      <c r="F4" s="170"/>
      <c r="G4" s="170"/>
      <c r="H4" s="66"/>
      <c r="I4" s="66"/>
      <c r="J4" s="66"/>
      <c r="K4" s="66"/>
      <c r="L4" s="66"/>
      <c r="M4" s="66"/>
    </row>
    <row r="5" spans="2:14" x14ac:dyDescent="0.2">
      <c r="B5" s="169" t="s">
        <v>202</v>
      </c>
      <c r="C5" s="169"/>
      <c r="D5" s="169"/>
      <c r="E5" s="169"/>
      <c r="F5" s="169"/>
      <c r="G5" s="109">
        <f>PNEC_Aquatic_Inside</f>
        <v>0.26500000000000001</v>
      </c>
      <c r="I5"/>
      <c r="J5"/>
      <c r="K5"/>
      <c r="L5"/>
      <c r="M5"/>
    </row>
    <row r="6" spans="2:14" x14ac:dyDescent="0.2">
      <c r="B6" s="169" t="s">
        <v>203</v>
      </c>
      <c r="C6" s="169"/>
      <c r="D6" s="169"/>
      <c r="E6" s="169"/>
      <c r="F6" s="169"/>
      <c r="G6" s="109">
        <f>PNEC_Sediment_Inside</f>
        <v>0</v>
      </c>
      <c r="I6"/>
      <c r="J6"/>
      <c r="K6"/>
      <c r="L6"/>
      <c r="M6"/>
    </row>
    <row r="7" spans="2:14" x14ac:dyDescent="0.2">
      <c r="B7" s="169" t="s">
        <v>204</v>
      </c>
      <c r="C7" s="169"/>
      <c r="D7" s="169"/>
      <c r="E7" s="169"/>
      <c r="F7" s="169"/>
      <c r="G7" s="109">
        <f>PNEC_Aquatic_Surrounding</f>
        <v>0.26500000000000001</v>
      </c>
      <c r="I7"/>
      <c r="J7"/>
      <c r="K7"/>
      <c r="L7"/>
      <c r="M7"/>
    </row>
    <row r="8" spans="2:14" x14ac:dyDescent="0.2">
      <c r="B8" s="169" t="s">
        <v>205</v>
      </c>
      <c r="C8" s="169"/>
      <c r="D8" s="169"/>
      <c r="E8" s="169"/>
      <c r="F8" s="169"/>
      <c r="G8" s="109">
        <f>PNEC_Sediment_Surrounding</f>
        <v>0</v>
      </c>
      <c r="I8"/>
      <c r="J8"/>
      <c r="K8"/>
      <c r="L8"/>
      <c r="M8"/>
    </row>
    <row r="10" spans="2:14" ht="15" x14ac:dyDescent="0.2">
      <c r="B10" s="149" t="s">
        <v>65</v>
      </c>
      <c r="C10" s="149"/>
      <c r="D10" s="149"/>
      <c r="E10" s="149"/>
      <c r="F10" s="149"/>
      <c r="G10" s="149"/>
      <c r="H10" s="149"/>
      <c r="I10" s="149"/>
      <c r="J10" s="149"/>
      <c r="K10" s="149"/>
      <c r="L10" s="149"/>
      <c r="M10" s="149"/>
    </row>
    <row r="11" spans="2:14" ht="99.95" customHeight="1" x14ac:dyDescent="0.2">
      <c r="B11" s="107" t="s">
        <v>10</v>
      </c>
      <c r="C11" s="98" t="s">
        <v>189</v>
      </c>
      <c r="D11" s="98" t="s">
        <v>188</v>
      </c>
      <c r="E11" s="107" t="s">
        <v>12</v>
      </c>
      <c r="F11" s="14" t="s">
        <v>74</v>
      </c>
      <c r="G11" s="14" t="s">
        <v>210</v>
      </c>
      <c r="H11" s="14" t="s">
        <v>75</v>
      </c>
      <c r="I11" s="14" t="s">
        <v>211</v>
      </c>
      <c r="J11" s="14" t="s">
        <v>206</v>
      </c>
      <c r="K11" s="14" t="s">
        <v>207</v>
      </c>
      <c r="L11" s="14" t="s">
        <v>208</v>
      </c>
      <c r="M11" s="14" t="s">
        <v>209</v>
      </c>
    </row>
    <row r="12" spans="2:14" ht="14.25" x14ac:dyDescent="0.2">
      <c r="B12" s="108" t="s">
        <v>108</v>
      </c>
      <c r="C12" s="80" t="s">
        <v>109</v>
      </c>
      <c r="D12" s="80">
        <v>1</v>
      </c>
      <c r="E12" s="108" t="str">
        <f t="shared" ref="E12:E57" si="0">Compound_Name</f>
        <v>Tolylfluanid</v>
      </c>
      <c r="F12" s="81" t="e">
        <f>'EU Marinas_Scenario_Calc'!K21</f>
        <v>#DIV/0!</v>
      </c>
      <c r="G12" s="81" t="e">
        <f>'EU Marinas_Scenario_Calc'!L21</f>
        <v>#DIV/0!</v>
      </c>
      <c r="H12" s="81" t="e">
        <f>'EU Marinas_Scenario_Calc'!M21</f>
        <v>#DIV/0!</v>
      </c>
      <c r="I12" s="81" t="e">
        <f>'EU Marinas_Scenario_Calc'!N21</f>
        <v>#DIV/0!</v>
      </c>
      <c r="J12" s="81" t="e">
        <f>'EU Marinas_Scenario_Calc'!S21</f>
        <v>#DIV/0!</v>
      </c>
      <c r="K12" s="81" t="e">
        <f>'EU Marinas_Scenario_Calc'!T21</f>
        <v>#DIV/0!</v>
      </c>
      <c r="L12" s="81" t="e">
        <f>'EU Marinas_Scenario_Calc'!U21</f>
        <v>#DIV/0!</v>
      </c>
      <c r="M12" s="81" t="e">
        <f>'EU Marinas_Scenario_Calc'!V21</f>
        <v>#DIV/0!</v>
      </c>
    </row>
    <row r="13" spans="2:14" ht="14.25" x14ac:dyDescent="0.2">
      <c r="B13" s="108" t="s">
        <v>110</v>
      </c>
      <c r="C13" s="80" t="s">
        <v>109</v>
      </c>
      <c r="D13" s="80">
        <v>2</v>
      </c>
      <c r="E13" s="108" t="str">
        <f t="shared" si="0"/>
        <v>Tolylfluanid</v>
      </c>
      <c r="F13" s="81" t="e">
        <f>'EU Marinas_Scenario_Calc'!K22</f>
        <v>#DIV/0!</v>
      </c>
      <c r="G13" s="81" t="e">
        <f>'EU Marinas_Scenario_Calc'!L22</f>
        <v>#DIV/0!</v>
      </c>
      <c r="H13" s="81" t="e">
        <f>'EU Marinas_Scenario_Calc'!M22</f>
        <v>#DIV/0!</v>
      </c>
      <c r="I13" s="81" t="e">
        <f>'EU Marinas_Scenario_Calc'!N22</f>
        <v>#DIV/0!</v>
      </c>
      <c r="J13" s="81" t="e">
        <f>'EU Marinas_Scenario_Calc'!S22</f>
        <v>#DIV/0!</v>
      </c>
      <c r="K13" s="81" t="e">
        <f>'EU Marinas_Scenario_Calc'!T22</f>
        <v>#DIV/0!</v>
      </c>
      <c r="L13" s="81" t="e">
        <f>'EU Marinas_Scenario_Calc'!U22</f>
        <v>#DIV/0!</v>
      </c>
      <c r="M13" s="81" t="e">
        <f>'EU Marinas_Scenario_Calc'!V22</f>
        <v>#DIV/0!</v>
      </c>
    </row>
    <row r="14" spans="2:14" ht="14.25" x14ac:dyDescent="0.2">
      <c r="B14" s="108" t="s">
        <v>111</v>
      </c>
      <c r="C14" s="80" t="s">
        <v>109</v>
      </c>
      <c r="D14" s="80">
        <v>3</v>
      </c>
      <c r="E14" s="108" t="str">
        <f t="shared" si="0"/>
        <v>Tolylfluanid</v>
      </c>
      <c r="F14" s="81" t="e">
        <f>'EU Marinas_Scenario_Calc'!K23</f>
        <v>#DIV/0!</v>
      </c>
      <c r="G14" s="81" t="e">
        <f>'EU Marinas_Scenario_Calc'!L23</f>
        <v>#DIV/0!</v>
      </c>
      <c r="H14" s="81" t="e">
        <f>'EU Marinas_Scenario_Calc'!M23</f>
        <v>#DIV/0!</v>
      </c>
      <c r="I14" s="81" t="e">
        <f>'EU Marinas_Scenario_Calc'!N23</f>
        <v>#DIV/0!</v>
      </c>
      <c r="J14" s="81" t="e">
        <f>'EU Marinas_Scenario_Calc'!S23</f>
        <v>#DIV/0!</v>
      </c>
      <c r="K14" s="81" t="e">
        <f>'EU Marinas_Scenario_Calc'!T23</f>
        <v>#DIV/0!</v>
      </c>
      <c r="L14" s="81" t="e">
        <f>'EU Marinas_Scenario_Calc'!U23</f>
        <v>#DIV/0!</v>
      </c>
      <c r="M14" s="81" t="e">
        <f>'EU Marinas_Scenario_Calc'!V23</f>
        <v>#DIV/0!</v>
      </c>
    </row>
    <row r="15" spans="2:14" ht="14.25" x14ac:dyDescent="0.2">
      <c r="B15" s="108" t="s">
        <v>112</v>
      </c>
      <c r="C15" s="80" t="s">
        <v>109</v>
      </c>
      <c r="D15" s="80">
        <v>4</v>
      </c>
      <c r="E15" s="108" t="str">
        <f t="shared" si="0"/>
        <v>Tolylfluanid</v>
      </c>
      <c r="F15" s="81" t="e">
        <f>'EU Marinas_Scenario_Calc'!K24</f>
        <v>#DIV/0!</v>
      </c>
      <c r="G15" s="81" t="e">
        <f>'EU Marinas_Scenario_Calc'!L24</f>
        <v>#DIV/0!</v>
      </c>
      <c r="H15" s="81" t="e">
        <f>'EU Marinas_Scenario_Calc'!M24</f>
        <v>#DIV/0!</v>
      </c>
      <c r="I15" s="81" t="e">
        <f>'EU Marinas_Scenario_Calc'!N24</f>
        <v>#DIV/0!</v>
      </c>
      <c r="J15" s="81" t="e">
        <f>'EU Marinas_Scenario_Calc'!S24</f>
        <v>#DIV/0!</v>
      </c>
      <c r="K15" s="81" t="e">
        <f>'EU Marinas_Scenario_Calc'!T24</f>
        <v>#DIV/0!</v>
      </c>
      <c r="L15" s="81" t="e">
        <f>'EU Marinas_Scenario_Calc'!U24</f>
        <v>#DIV/0!</v>
      </c>
      <c r="M15" s="81" t="e">
        <f>'EU Marinas_Scenario_Calc'!V24</f>
        <v>#DIV/0!</v>
      </c>
    </row>
    <row r="16" spans="2:14" ht="14.25" x14ac:dyDescent="0.2">
      <c r="B16" s="108" t="s">
        <v>113</v>
      </c>
      <c r="C16" s="80" t="s">
        <v>109</v>
      </c>
      <c r="D16" s="80">
        <v>5</v>
      </c>
      <c r="E16" s="108" t="str">
        <f t="shared" si="0"/>
        <v>Tolylfluanid</v>
      </c>
      <c r="F16" s="81" t="e">
        <f>'EU Marinas_Scenario_Calc'!K25</f>
        <v>#DIV/0!</v>
      </c>
      <c r="G16" s="81" t="e">
        <f>'EU Marinas_Scenario_Calc'!L25</f>
        <v>#DIV/0!</v>
      </c>
      <c r="H16" s="81" t="e">
        <f>'EU Marinas_Scenario_Calc'!M25</f>
        <v>#DIV/0!</v>
      </c>
      <c r="I16" s="81" t="e">
        <f>'EU Marinas_Scenario_Calc'!N25</f>
        <v>#DIV/0!</v>
      </c>
      <c r="J16" s="81" t="e">
        <f>'EU Marinas_Scenario_Calc'!S25</f>
        <v>#DIV/0!</v>
      </c>
      <c r="K16" s="81" t="e">
        <f>'EU Marinas_Scenario_Calc'!T25</f>
        <v>#DIV/0!</v>
      </c>
      <c r="L16" s="81" t="e">
        <f>'EU Marinas_Scenario_Calc'!U25</f>
        <v>#DIV/0!</v>
      </c>
      <c r="M16" s="81" t="e">
        <f>'EU Marinas_Scenario_Calc'!V25</f>
        <v>#DIV/0!</v>
      </c>
    </row>
    <row r="17" spans="2:13" ht="14.25" x14ac:dyDescent="0.2">
      <c r="B17" s="108" t="s">
        <v>114</v>
      </c>
      <c r="C17" s="80" t="s">
        <v>109</v>
      </c>
      <c r="D17" s="80">
        <v>6</v>
      </c>
      <c r="E17" s="108" t="str">
        <f t="shared" si="0"/>
        <v>Tolylfluanid</v>
      </c>
      <c r="F17" s="81" t="e">
        <f>'EU Marinas_Scenario_Calc'!K26</f>
        <v>#DIV/0!</v>
      </c>
      <c r="G17" s="81" t="e">
        <f>'EU Marinas_Scenario_Calc'!L26</f>
        <v>#DIV/0!</v>
      </c>
      <c r="H17" s="81" t="e">
        <f>'EU Marinas_Scenario_Calc'!M26</f>
        <v>#DIV/0!</v>
      </c>
      <c r="I17" s="81" t="e">
        <f>'EU Marinas_Scenario_Calc'!N26</f>
        <v>#DIV/0!</v>
      </c>
      <c r="J17" s="81" t="e">
        <f>'EU Marinas_Scenario_Calc'!S26</f>
        <v>#DIV/0!</v>
      </c>
      <c r="K17" s="81" t="e">
        <f>'EU Marinas_Scenario_Calc'!T26</f>
        <v>#DIV/0!</v>
      </c>
      <c r="L17" s="81" t="e">
        <f>'EU Marinas_Scenario_Calc'!U26</f>
        <v>#DIV/0!</v>
      </c>
      <c r="M17" s="81" t="e">
        <f>'EU Marinas_Scenario_Calc'!V26</f>
        <v>#DIV/0!</v>
      </c>
    </row>
    <row r="18" spans="2:13" ht="14.25" x14ac:dyDescent="0.2">
      <c r="B18" s="108" t="s">
        <v>115</v>
      </c>
      <c r="C18" s="80" t="s">
        <v>109</v>
      </c>
      <c r="D18" s="80">
        <v>7</v>
      </c>
      <c r="E18" s="108" t="str">
        <f t="shared" si="0"/>
        <v>Tolylfluanid</v>
      </c>
      <c r="F18" s="81" t="e">
        <f>'EU Marinas_Scenario_Calc'!K27</f>
        <v>#DIV/0!</v>
      </c>
      <c r="G18" s="81" t="e">
        <f>'EU Marinas_Scenario_Calc'!L27</f>
        <v>#DIV/0!</v>
      </c>
      <c r="H18" s="81" t="e">
        <f>'EU Marinas_Scenario_Calc'!M27</f>
        <v>#DIV/0!</v>
      </c>
      <c r="I18" s="81" t="e">
        <f>'EU Marinas_Scenario_Calc'!N27</f>
        <v>#DIV/0!</v>
      </c>
      <c r="J18" s="81" t="e">
        <f>'EU Marinas_Scenario_Calc'!S27</f>
        <v>#DIV/0!</v>
      </c>
      <c r="K18" s="81" t="e">
        <f>'EU Marinas_Scenario_Calc'!T27</f>
        <v>#DIV/0!</v>
      </c>
      <c r="L18" s="81" t="e">
        <f>'EU Marinas_Scenario_Calc'!U27</f>
        <v>#DIV/0!</v>
      </c>
      <c r="M18" s="81" t="e">
        <f>'EU Marinas_Scenario_Calc'!V27</f>
        <v>#DIV/0!</v>
      </c>
    </row>
    <row r="19" spans="2:13" ht="14.25" x14ac:dyDescent="0.2">
      <c r="B19" s="108" t="s">
        <v>116</v>
      </c>
      <c r="C19" s="80" t="s">
        <v>117</v>
      </c>
      <c r="D19" s="80">
        <v>2</v>
      </c>
      <c r="E19" s="108" t="str">
        <f t="shared" si="0"/>
        <v>Tolylfluanid</v>
      </c>
      <c r="F19" s="81" t="e">
        <f>'EU Marinas_Scenario_Calc'!K28</f>
        <v>#DIV/0!</v>
      </c>
      <c r="G19" s="81" t="e">
        <f>'EU Marinas_Scenario_Calc'!L28</f>
        <v>#DIV/0!</v>
      </c>
      <c r="H19" s="81" t="e">
        <f>'EU Marinas_Scenario_Calc'!M28</f>
        <v>#DIV/0!</v>
      </c>
      <c r="I19" s="81" t="e">
        <f>'EU Marinas_Scenario_Calc'!N28</f>
        <v>#DIV/0!</v>
      </c>
      <c r="J19" s="81" t="e">
        <f>'EU Marinas_Scenario_Calc'!S28</f>
        <v>#DIV/0!</v>
      </c>
      <c r="K19" s="81" t="e">
        <f>'EU Marinas_Scenario_Calc'!T28</f>
        <v>#DIV/0!</v>
      </c>
      <c r="L19" s="81" t="e">
        <f>'EU Marinas_Scenario_Calc'!U28</f>
        <v>#DIV/0!</v>
      </c>
      <c r="M19" s="81" t="e">
        <f>'EU Marinas_Scenario_Calc'!V28</f>
        <v>#DIV/0!</v>
      </c>
    </row>
    <row r="20" spans="2:13" ht="14.25" x14ac:dyDescent="0.2">
      <c r="B20" s="108" t="s">
        <v>118</v>
      </c>
      <c r="C20" s="80" t="s">
        <v>117</v>
      </c>
      <c r="D20" s="80">
        <v>3</v>
      </c>
      <c r="E20" s="108" t="str">
        <f t="shared" si="0"/>
        <v>Tolylfluanid</v>
      </c>
      <c r="F20" s="81" t="e">
        <f>'EU Marinas_Scenario_Calc'!K29</f>
        <v>#DIV/0!</v>
      </c>
      <c r="G20" s="81" t="e">
        <f>'EU Marinas_Scenario_Calc'!L29</f>
        <v>#DIV/0!</v>
      </c>
      <c r="H20" s="81" t="e">
        <f>'EU Marinas_Scenario_Calc'!M29</f>
        <v>#DIV/0!</v>
      </c>
      <c r="I20" s="81" t="e">
        <f>'EU Marinas_Scenario_Calc'!N29</f>
        <v>#DIV/0!</v>
      </c>
      <c r="J20" s="81" t="e">
        <f>'EU Marinas_Scenario_Calc'!S29</f>
        <v>#DIV/0!</v>
      </c>
      <c r="K20" s="81" t="e">
        <f>'EU Marinas_Scenario_Calc'!T29</f>
        <v>#DIV/0!</v>
      </c>
      <c r="L20" s="81" t="e">
        <f>'EU Marinas_Scenario_Calc'!U29</f>
        <v>#DIV/0!</v>
      </c>
      <c r="M20" s="81" t="e">
        <f>'EU Marinas_Scenario_Calc'!V29</f>
        <v>#DIV/0!</v>
      </c>
    </row>
    <row r="21" spans="2:13" ht="14.25" x14ac:dyDescent="0.2">
      <c r="B21" s="108" t="s">
        <v>119</v>
      </c>
      <c r="C21" s="80" t="s">
        <v>117</v>
      </c>
      <c r="D21" s="80">
        <v>5</v>
      </c>
      <c r="E21" s="108" t="str">
        <f t="shared" si="0"/>
        <v>Tolylfluanid</v>
      </c>
      <c r="F21" s="81" t="e">
        <f>'EU Marinas_Scenario_Calc'!K30</f>
        <v>#DIV/0!</v>
      </c>
      <c r="G21" s="81" t="e">
        <f>'EU Marinas_Scenario_Calc'!L30</f>
        <v>#DIV/0!</v>
      </c>
      <c r="H21" s="81" t="e">
        <f>'EU Marinas_Scenario_Calc'!M30</f>
        <v>#DIV/0!</v>
      </c>
      <c r="I21" s="81" t="e">
        <f>'EU Marinas_Scenario_Calc'!N30</f>
        <v>#DIV/0!</v>
      </c>
      <c r="J21" s="81" t="e">
        <f>'EU Marinas_Scenario_Calc'!S30</f>
        <v>#DIV/0!</v>
      </c>
      <c r="K21" s="81" t="e">
        <f>'EU Marinas_Scenario_Calc'!T30</f>
        <v>#DIV/0!</v>
      </c>
      <c r="L21" s="81" t="e">
        <f>'EU Marinas_Scenario_Calc'!U30</f>
        <v>#DIV/0!</v>
      </c>
      <c r="M21" s="81" t="e">
        <f>'EU Marinas_Scenario_Calc'!V30</f>
        <v>#DIV/0!</v>
      </c>
    </row>
    <row r="22" spans="2:13" ht="14.25" x14ac:dyDescent="0.2">
      <c r="B22" s="108" t="s">
        <v>120</v>
      </c>
      <c r="C22" s="80" t="s">
        <v>117</v>
      </c>
      <c r="D22" s="80">
        <v>6</v>
      </c>
      <c r="E22" s="108" t="str">
        <f t="shared" si="0"/>
        <v>Tolylfluanid</v>
      </c>
      <c r="F22" s="81" t="e">
        <f>'EU Marinas_Scenario_Calc'!K31</f>
        <v>#DIV/0!</v>
      </c>
      <c r="G22" s="81" t="e">
        <f>'EU Marinas_Scenario_Calc'!L31</f>
        <v>#DIV/0!</v>
      </c>
      <c r="H22" s="81" t="e">
        <f>'EU Marinas_Scenario_Calc'!M31</f>
        <v>#DIV/0!</v>
      </c>
      <c r="I22" s="81" t="e">
        <f>'EU Marinas_Scenario_Calc'!N31</f>
        <v>#DIV/0!</v>
      </c>
      <c r="J22" s="81" t="e">
        <f>'EU Marinas_Scenario_Calc'!S31</f>
        <v>#DIV/0!</v>
      </c>
      <c r="K22" s="81" t="e">
        <f>'EU Marinas_Scenario_Calc'!T31</f>
        <v>#DIV/0!</v>
      </c>
      <c r="L22" s="81" t="e">
        <f>'EU Marinas_Scenario_Calc'!U31</f>
        <v>#DIV/0!</v>
      </c>
      <c r="M22" s="81" t="e">
        <f>'EU Marinas_Scenario_Calc'!V31</f>
        <v>#DIV/0!</v>
      </c>
    </row>
    <row r="23" spans="2:13" ht="14.25" x14ac:dyDescent="0.2">
      <c r="B23" s="108" t="s">
        <v>121</v>
      </c>
      <c r="C23" s="80" t="s">
        <v>117</v>
      </c>
      <c r="D23" s="80">
        <v>11</v>
      </c>
      <c r="E23" s="108" t="str">
        <f t="shared" si="0"/>
        <v>Tolylfluanid</v>
      </c>
      <c r="F23" s="81" t="e">
        <f>'EU Marinas_Scenario_Calc'!K32</f>
        <v>#DIV/0!</v>
      </c>
      <c r="G23" s="81" t="e">
        <f>'EU Marinas_Scenario_Calc'!L32</f>
        <v>#DIV/0!</v>
      </c>
      <c r="H23" s="81" t="e">
        <f>'EU Marinas_Scenario_Calc'!M32</f>
        <v>#DIV/0!</v>
      </c>
      <c r="I23" s="81" t="e">
        <f>'EU Marinas_Scenario_Calc'!N32</f>
        <v>#DIV/0!</v>
      </c>
      <c r="J23" s="81" t="e">
        <f>'EU Marinas_Scenario_Calc'!S32</f>
        <v>#DIV/0!</v>
      </c>
      <c r="K23" s="81" t="e">
        <f>'EU Marinas_Scenario_Calc'!T32</f>
        <v>#DIV/0!</v>
      </c>
      <c r="L23" s="81" t="e">
        <f>'EU Marinas_Scenario_Calc'!U32</f>
        <v>#DIV/0!</v>
      </c>
      <c r="M23" s="81" t="e">
        <f>'EU Marinas_Scenario_Calc'!V32</f>
        <v>#DIV/0!</v>
      </c>
    </row>
    <row r="24" spans="2:13" ht="14.25" x14ac:dyDescent="0.2">
      <c r="B24" s="108" t="s">
        <v>122</v>
      </c>
      <c r="C24" s="80" t="s">
        <v>117</v>
      </c>
      <c r="D24" s="80">
        <v>12</v>
      </c>
      <c r="E24" s="108" t="str">
        <f t="shared" si="0"/>
        <v>Tolylfluanid</v>
      </c>
      <c r="F24" s="81" t="e">
        <f>'EU Marinas_Scenario_Calc'!K33</f>
        <v>#DIV/0!</v>
      </c>
      <c r="G24" s="81" t="e">
        <f>'EU Marinas_Scenario_Calc'!L33</f>
        <v>#DIV/0!</v>
      </c>
      <c r="H24" s="81" t="e">
        <f>'EU Marinas_Scenario_Calc'!M33</f>
        <v>#DIV/0!</v>
      </c>
      <c r="I24" s="81" t="e">
        <f>'EU Marinas_Scenario_Calc'!N33</f>
        <v>#DIV/0!</v>
      </c>
      <c r="J24" s="81" t="e">
        <f>'EU Marinas_Scenario_Calc'!S33</f>
        <v>#DIV/0!</v>
      </c>
      <c r="K24" s="81" t="e">
        <f>'EU Marinas_Scenario_Calc'!T33</f>
        <v>#DIV/0!</v>
      </c>
      <c r="L24" s="81" t="e">
        <f>'EU Marinas_Scenario_Calc'!U33</f>
        <v>#DIV/0!</v>
      </c>
      <c r="M24" s="81" t="e">
        <f>'EU Marinas_Scenario_Calc'!V33</f>
        <v>#DIV/0!</v>
      </c>
    </row>
    <row r="25" spans="2:13" ht="14.25" x14ac:dyDescent="0.2">
      <c r="B25" s="108" t="s">
        <v>123</v>
      </c>
      <c r="C25" s="80" t="s">
        <v>13</v>
      </c>
      <c r="D25" s="80" t="s">
        <v>124</v>
      </c>
      <c r="E25" s="108" t="str">
        <f t="shared" si="0"/>
        <v>Tolylfluanid</v>
      </c>
      <c r="F25" s="81" t="e">
        <f>'EU Marinas_Scenario_Calc'!K34</f>
        <v>#DIV/0!</v>
      </c>
      <c r="G25" s="81" t="e">
        <f>'EU Marinas_Scenario_Calc'!L34</f>
        <v>#DIV/0!</v>
      </c>
      <c r="H25" s="81" t="e">
        <f>'EU Marinas_Scenario_Calc'!M34</f>
        <v>#DIV/0!</v>
      </c>
      <c r="I25" s="81" t="e">
        <f>'EU Marinas_Scenario_Calc'!N34</f>
        <v>#DIV/0!</v>
      </c>
      <c r="J25" s="81" t="e">
        <f>'EU Marinas_Scenario_Calc'!S34</f>
        <v>#DIV/0!</v>
      </c>
      <c r="K25" s="81" t="e">
        <f>'EU Marinas_Scenario_Calc'!T34</f>
        <v>#DIV/0!</v>
      </c>
      <c r="L25" s="81" t="e">
        <f>'EU Marinas_Scenario_Calc'!U34</f>
        <v>#DIV/0!</v>
      </c>
      <c r="M25" s="81" t="e">
        <f>'EU Marinas_Scenario_Calc'!V34</f>
        <v>#DIV/0!</v>
      </c>
    </row>
    <row r="26" spans="2:13" ht="14.25" x14ac:dyDescent="0.2">
      <c r="B26" s="108" t="s">
        <v>125</v>
      </c>
      <c r="C26" s="80" t="s">
        <v>13</v>
      </c>
      <c r="D26" s="80" t="s">
        <v>126</v>
      </c>
      <c r="E26" s="108" t="str">
        <f t="shared" si="0"/>
        <v>Tolylfluanid</v>
      </c>
      <c r="F26" s="81" t="e">
        <f>'EU Marinas_Scenario_Calc'!K35</f>
        <v>#DIV/0!</v>
      </c>
      <c r="G26" s="81" t="e">
        <f>'EU Marinas_Scenario_Calc'!L35</f>
        <v>#DIV/0!</v>
      </c>
      <c r="H26" s="81" t="e">
        <f>'EU Marinas_Scenario_Calc'!M35</f>
        <v>#DIV/0!</v>
      </c>
      <c r="I26" s="81" t="e">
        <f>'EU Marinas_Scenario_Calc'!N35</f>
        <v>#DIV/0!</v>
      </c>
      <c r="J26" s="81" t="e">
        <f>'EU Marinas_Scenario_Calc'!S35</f>
        <v>#DIV/0!</v>
      </c>
      <c r="K26" s="81" t="e">
        <f>'EU Marinas_Scenario_Calc'!T35</f>
        <v>#DIV/0!</v>
      </c>
      <c r="L26" s="81" t="e">
        <f>'EU Marinas_Scenario_Calc'!U35</f>
        <v>#DIV/0!</v>
      </c>
      <c r="M26" s="81" t="e">
        <f>'EU Marinas_Scenario_Calc'!V35</f>
        <v>#DIV/0!</v>
      </c>
    </row>
    <row r="27" spans="2:13" ht="14.25" x14ac:dyDescent="0.2">
      <c r="B27" s="108" t="s">
        <v>127</v>
      </c>
      <c r="C27" s="80" t="s">
        <v>13</v>
      </c>
      <c r="D27" s="80" t="s">
        <v>128</v>
      </c>
      <c r="E27" s="108" t="str">
        <f t="shared" si="0"/>
        <v>Tolylfluanid</v>
      </c>
      <c r="F27" s="81" t="e">
        <f>'EU Marinas_Scenario_Calc'!K36</f>
        <v>#DIV/0!</v>
      </c>
      <c r="G27" s="81" t="e">
        <f>'EU Marinas_Scenario_Calc'!L36</f>
        <v>#DIV/0!</v>
      </c>
      <c r="H27" s="81" t="e">
        <f>'EU Marinas_Scenario_Calc'!M36</f>
        <v>#DIV/0!</v>
      </c>
      <c r="I27" s="81" t="e">
        <f>'EU Marinas_Scenario_Calc'!N36</f>
        <v>#DIV/0!</v>
      </c>
      <c r="J27" s="81" t="e">
        <f>'EU Marinas_Scenario_Calc'!S36</f>
        <v>#DIV/0!</v>
      </c>
      <c r="K27" s="81" t="e">
        <f>'EU Marinas_Scenario_Calc'!T36</f>
        <v>#DIV/0!</v>
      </c>
      <c r="L27" s="81" t="e">
        <f>'EU Marinas_Scenario_Calc'!U36</f>
        <v>#DIV/0!</v>
      </c>
      <c r="M27" s="81" t="e">
        <f>'EU Marinas_Scenario_Calc'!V36</f>
        <v>#DIV/0!</v>
      </c>
    </row>
    <row r="28" spans="2:13" ht="14.25" x14ac:dyDescent="0.2">
      <c r="B28" s="108" t="s">
        <v>129</v>
      </c>
      <c r="C28" s="80" t="s">
        <v>13</v>
      </c>
      <c r="D28" s="80" t="s">
        <v>130</v>
      </c>
      <c r="E28" s="108" t="str">
        <f t="shared" si="0"/>
        <v>Tolylfluanid</v>
      </c>
      <c r="F28" s="81" t="e">
        <f>'EU Marinas_Scenario_Calc'!K37</f>
        <v>#DIV/0!</v>
      </c>
      <c r="G28" s="81" t="e">
        <f>'EU Marinas_Scenario_Calc'!L37</f>
        <v>#DIV/0!</v>
      </c>
      <c r="H28" s="81" t="e">
        <f>'EU Marinas_Scenario_Calc'!M37</f>
        <v>#DIV/0!</v>
      </c>
      <c r="I28" s="81" t="e">
        <f>'EU Marinas_Scenario_Calc'!N37</f>
        <v>#DIV/0!</v>
      </c>
      <c r="J28" s="81" t="e">
        <f>'EU Marinas_Scenario_Calc'!S37</f>
        <v>#DIV/0!</v>
      </c>
      <c r="K28" s="81" t="e">
        <f>'EU Marinas_Scenario_Calc'!T37</f>
        <v>#DIV/0!</v>
      </c>
      <c r="L28" s="81" t="e">
        <f>'EU Marinas_Scenario_Calc'!U37</f>
        <v>#DIV/0!</v>
      </c>
      <c r="M28" s="81" t="e">
        <f>'EU Marinas_Scenario_Calc'!V37</f>
        <v>#DIV/0!</v>
      </c>
    </row>
    <row r="29" spans="2:13" ht="14.25" x14ac:dyDescent="0.2">
      <c r="B29" s="108" t="s">
        <v>131</v>
      </c>
      <c r="C29" s="80" t="s">
        <v>13</v>
      </c>
      <c r="D29" s="80" t="s">
        <v>132</v>
      </c>
      <c r="E29" s="108" t="str">
        <f t="shared" si="0"/>
        <v>Tolylfluanid</v>
      </c>
      <c r="F29" s="81" t="e">
        <f>'EU Marinas_Scenario_Calc'!K38</f>
        <v>#DIV/0!</v>
      </c>
      <c r="G29" s="81" t="e">
        <f>'EU Marinas_Scenario_Calc'!L38</f>
        <v>#DIV/0!</v>
      </c>
      <c r="H29" s="81" t="e">
        <f>'EU Marinas_Scenario_Calc'!M38</f>
        <v>#DIV/0!</v>
      </c>
      <c r="I29" s="81" t="e">
        <f>'EU Marinas_Scenario_Calc'!N38</f>
        <v>#DIV/0!</v>
      </c>
      <c r="J29" s="81" t="e">
        <f>'EU Marinas_Scenario_Calc'!S38</f>
        <v>#DIV/0!</v>
      </c>
      <c r="K29" s="81" t="e">
        <f>'EU Marinas_Scenario_Calc'!T38</f>
        <v>#DIV/0!</v>
      </c>
      <c r="L29" s="81" t="e">
        <f>'EU Marinas_Scenario_Calc'!U38</f>
        <v>#DIV/0!</v>
      </c>
      <c r="M29" s="81" t="e">
        <f>'EU Marinas_Scenario_Calc'!V38</f>
        <v>#DIV/0!</v>
      </c>
    </row>
    <row r="30" spans="2:13" ht="14.25" x14ac:dyDescent="0.2">
      <c r="B30" s="108" t="s">
        <v>133</v>
      </c>
      <c r="C30" s="80" t="s">
        <v>13</v>
      </c>
      <c r="D30" s="80" t="s">
        <v>134</v>
      </c>
      <c r="E30" s="108" t="str">
        <f t="shared" si="0"/>
        <v>Tolylfluanid</v>
      </c>
      <c r="F30" s="81" t="e">
        <f>'EU Marinas_Scenario_Calc'!K39</f>
        <v>#DIV/0!</v>
      </c>
      <c r="G30" s="81" t="e">
        <f>'EU Marinas_Scenario_Calc'!L39</f>
        <v>#DIV/0!</v>
      </c>
      <c r="H30" s="81" t="e">
        <f>'EU Marinas_Scenario_Calc'!M39</f>
        <v>#DIV/0!</v>
      </c>
      <c r="I30" s="81" t="e">
        <f>'EU Marinas_Scenario_Calc'!N39</f>
        <v>#DIV/0!</v>
      </c>
      <c r="J30" s="81" t="e">
        <f>'EU Marinas_Scenario_Calc'!S39</f>
        <v>#DIV/0!</v>
      </c>
      <c r="K30" s="81" t="e">
        <f>'EU Marinas_Scenario_Calc'!T39</f>
        <v>#DIV/0!</v>
      </c>
      <c r="L30" s="81" t="e">
        <f>'EU Marinas_Scenario_Calc'!U39</f>
        <v>#DIV/0!</v>
      </c>
      <c r="M30" s="81" t="e">
        <f>'EU Marinas_Scenario_Calc'!V39</f>
        <v>#DIV/0!</v>
      </c>
    </row>
    <row r="31" spans="2:13" ht="14.25" x14ac:dyDescent="0.2">
      <c r="B31" s="108" t="s">
        <v>135</v>
      </c>
      <c r="C31" s="80" t="s">
        <v>13</v>
      </c>
      <c r="D31" s="80" t="s">
        <v>136</v>
      </c>
      <c r="E31" s="108" t="str">
        <f t="shared" si="0"/>
        <v>Tolylfluanid</v>
      </c>
      <c r="F31" s="81" t="e">
        <f>'EU Marinas_Scenario_Calc'!K40</f>
        <v>#DIV/0!</v>
      </c>
      <c r="G31" s="81" t="e">
        <f>'EU Marinas_Scenario_Calc'!L40</f>
        <v>#DIV/0!</v>
      </c>
      <c r="H31" s="81" t="e">
        <f>'EU Marinas_Scenario_Calc'!M40</f>
        <v>#DIV/0!</v>
      </c>
      <c r="I31" s="81" t="e">
        <f>'EU Marinas_Scenario_Calc'!N40</f>
        <v>#DIV/0!</v>
      </c>
      <c r="J31" s="81" t="e">
        <f>'EU Marinas_Scenario_Calc'!S40</f>
        <v>#DIV/0!</v>
      </c>
      <c r="K31" s="81" t="e">
        <f>'EU Marinas_Scenario_Calc'!T40</f>
        <v>#DIV/0!</v>
      </c>
      <c r="L31" s="81" t="e">
        <f>'EU Marinas_Scenario_Calc'!U40</f>
        <v>#DIV/0!</v>
      </c>
      <c r="M31" s="81" t="e">
        <f>'EU Marinas_Scenario_Calc'!V40</f>
        <v>#DIV/0!</v>
      </c>
    </row>
    <row r="32" spans="2:13" ht="14.25" x14ac:dyDescent="0.2">
      <c r="B32" s="108" t="s">
        <v>137</v>
      </c>
      <c r="C32" s="80" t="s">
        <v>13</v>
      </c>
      <c r="D32" s="80" t="s">
        <v>138</v>
      </c>
      <c r="E32" s="108" t="str">
        <f t="shared" si="0"/>
        <v>Tolylfluanid</v>
      </c>
      <c r="F32" s="81" t="e">
        <f>'EU Marinas_Scenario_Calc'!K41</f>
        <v>#DIV/0!</v>
      </c>
      <c r="G32" s="81" t="e">
        <f>'EU Marinas_Scenario_Calc'!L41</f>
        <v>#DIV/0!</v>
      </c>
      <c r="H32" s="81" t="e">
        <f>'EU Marinas_Scenario_Calc'!M41</f>
        <v>#DIV/0!</v>
      </c>
      <c r="I32" s="81" t="e">
        <f>'EU Marinas_Scenario_Calc'!N41</f>
        <v>#DIV/0!</v>
      </c>
      <c r="J32" s="81" t="e">
        <f>'EU Marinas_Scenario_Calc'!S41</f>
        <v>#DIV/0!</v>
      </c>
      <c r="K32" s="81" t="e">
        <f>'EU Marinas_Scenario_Calc'!T41</f>
        <v>#DIV/0!</v>
      </c>
      <c r="L32" s="81" t="e">
        <f>'EU Marinas_Scenario_Calc'!U41</f>
        <v>#DIV/0!</v>
      </c>
      <c r="M32" s="81" t="e">
        <f>'EU Marinas_Scenario_Calc'!V41</f>
        <v>#DIV/0!</v>
      </c>
    </row>
    <row r="33" spans="2:13" ht="14.25" x14ac:dyDescent="0.2">
      <c r="B33" s="108" t="s">
        <v>139</v>
      </c>
      <c r="C33" s="80" t="s">
        <v>13</v>
      </c>
      <c r="D33" s="80" t="s">
        <v>140</v>
      </c>
      <c r="E33" s="108" t="str">
        <f t="shared" si="0"/>
        <v>Tolylfluanid</v>
      </c>
      <c r="F33" s="81" t="e">
        <f>'EU Marinas_Scenario_Calc'!K42</f>
        <v>#DIV/0!</v>
      </c>
      <c r="G33" s="81" t="e">
        <f>'EU Marinas_Scenario_Calc'!L42</f>
        <v>#DIV/0!</v>
      </c>
      <c r="H33" s="81" t="e">
        <f>'EU Marinas_Scenario_Calc'!M42</f>
        <v>#DIV/0!</v>
      </c>
      <c r="I33" s="81" t="e">
        <f>'EU Marinas_Scenario_Calc'!N42</f>
        <v>#DIV/0!</v>
      </c>
      <c r="J33" s="81" t="e">
        <f>'EU Marinas_Scenario_Calc'!S42</f>
        <v>#DIV/0!</v>
      </c>
      <c r="K33" s="81" t="e">
        <f>'EU Marinas_Scenario_Calc'!T42</f>
        <v>#DIV/0!</v>
      </c>
      <c r="L33" s="81" t="e">
        <f>'EU Marinas_Scenario_Calc'!U42</f>
        <v>#DIV/0!</v>
      </c>
      <c r="M33" s="81" t="e">
        <f>'EU Marinas_Scenario_Calc'!V42</f>
        <v>#DIV/0!</v>
      </c>
    </row>
    <row r="34" spans="2:13" ht="14.25" x14ac:dyDescent="0.2">
      <c r="B34" s="108" t="s">
        <v>141</v>
      </c>
      <c r="C34" s="80" t="s">
        <v>13</v>
      </c>
      <c r="D34" s="80" t="s">
        <v>142</v>
      </c>
      <c r="E34" s="108" t="str">
        <f t="shared" si="0"/>
        <v>Tolylfluanid</v>
      </c>
      <c r="F34" s="81" t="e">
        <f>'EU Marinas_Scenario_Calc'!K43</f>
        <v>#DIV/0!</v>
      </c>
      <c r="G34" s="81" t="e">
        <f>'EU Marinas_Scenario_Calc'!L43</f>
        <v>#DIV/0!</v>
      </c>
      <c r="H34" s="81" t="e">
        <f>'EU Marinas_Scenario_Calc'!M43</f>
        <v>#DIV/0!</v>
      </c>
      <c r="I34" s="81" t="e">
        <f>'EU Marinas_Scenario_Calc'!N43</f>
        <v>#DIV/0!</v>
      </c>
      <c r="J34" s="81" t="e">
        <f>'EU Marinas_Scenario_Calc'!S43</f>
        <v>#DIV/0!</v>
      </c>
      <c r="K34" s="81" t="e">
        <f>'EU Marinas_Scenario_Calc'!T43</f>
        <v>#DIV/0!</v>
      </c>
      <c r="L34" s="81" t="e">
        <f>'EU Marinas_Scenario_Calc'!U43</f>
        <v>#DIV/0!</v>
      </c>
      <c r="M34" s="81" t="e">
        <f>'EU Marinas_Scenario_Calc'!V43</f>
        <v>#DIV/0!</v>
      </c>
    </row>
    <row r="35" spans="2:13" ht="14.25" x14ac:dyDescent="0.2">
      <c r="B35" s="108" t="s">
        <v>143</v>
      </c>
      <c r="C35" s="80" t="s">
        <v>14</v>
      </c>
      <c r="D35" s="80">
        <v>1</v>
      </c>
      <c r="E35" s="108" t="str">
        <f t="shared" si="0"/>
        <v>Tolylfluanid</v>
      </c>
      <c r="F35" s="81" t="e">
        <f>'EU Marinas_Scenario_Calc'!K44</f>
        <v>#DIV/0!</v>
      </c>
      <c r="G35" s="81" t="e">
        <f>'EU Marinas_Scenario_Calc'!L44</f>
        <v>#DIV/0!</v>
      </c>
      <c r="H35" s="81" t="e">
        <f>'EU Marinas_Scenario_Calc'!M44</f>
        <v>#DIV/0!</v>
      </c>
      <c r="I35" s="81" t="e">
        <f>'EU Marinas_Scenario_Calc'!N44</f>
        <v>#DIV/0!</v>
      </c>
      <c r="J35" s="81" t="e">
        <f>'EU Marinas_Scenario_Calc'!S44</f>
        <v>#DIV/0!</v>
      </c>
      <c r="K35" s="81" t="e">
        <f>'EU Marinas_Scenario_Calc'!T44</f>
        <v>#DIV/0!</v>
      </c>
      <c r="L35" s="81" t="e">
        <f>'EU Marinas_Scenario_Calc'!U44</f>
        <v>#DIV/0!</v>
      </c>
      <c r="M35" s="81" t="e">
        <f>'EU Marinas_Scenario_Calc'!V44</f>
        <v>#DIV/0!</v>
      </c>
    </row>
    <row r="36" spans="2:13" ht="14.25" x14ac:dyDescent="0.2">
      <c r="B36" s="108" t="s">
        <v>144</v>
      </c>
      <c r="C36" s="80" t="s">
        <v>14</v>
      </c>
      <c r="D36" s="80">
        <v>3</v>
      </c>
      <c r="E36" s="108" t="str">
        <f t="shared" si="0"/>
        <v>Tolylfluanid</v>
      </c>
      <c r="F36" s="81" t="e">
        <f>'EU Marinas_Scenario_Calc'!K45</f>
        <v>#DIV/0!</v>
      </c>
      <c r="G36" s="81" t="e">
        <f>'EU Marinas_Scenario_Calc'!L45</f>
        <v>#DIV/0!</v>
      </c>
      <c r="H36" s="81" t="e">
        <f>'EU Marinas_Scenario_Calc'!M45</f>
        <v>#DIV/0!</v>
      </c>
      <c r="I36" s="81" t="e">
        <f>'EU Marinas_Scenario_Calc'!N45</f>
        <v>#DIV/0!</v>
      </c>
      <c r="J36" s="81" t="e">
        <f>'EU Marinas_Scenario_Calc'!S45</f>
        <v>#DIV/0!</v>
      </c>
      <c r="K36" s="81" t="e">
        <f>'EU Marinas_Scenario_Calc'!T45</f>
        <v>#DIV/0!</v>
      </c>
      <c r="L36" s="81" t="e">
        <f>'EU Marinas_Scenario_Calc'!U45</f>
        <v>#DIV/0!</v>
      </c>
      <c r="M36" s="81" t="e">
        <f>'EU Marinas_Scenario_Calc'!V45</f>
        <v>#DIV/0!</v>
      </c>
    </row>
    <row r="37" spans="2:13" ht="14.25" x14ac:dyDescent="0.2">
      <c r="B37" s="108" t="s">
        <v>145</v>
      </c>
      <c r="C37" s="80" t="s">
        <v>14</v>
      </c>
      <c r="D37" s="80">
        <v>4</v>
      </c>
      <c r="E37" s="108" t="str">
        <f t="shared" si="0"/>
        <v>Tolylfluanid</v>
      </c>
      <c r="F37" s="81" t="e">
        <f>'EU Marinas_Scenario_Calc'!K46</f>
        <v>#DIV/0!</v>
      </c>
      <c r="G37" s="81" t="e">
        <f>'EU Marinas_Scenario_Calc'!L46</f>
        <v>#DIV/0!</v>
      </c>
      <c r="H37" s="81" t="e">
        <f>'EU Marinas_Scenario_Calc'!M46</f>
        <v>#DIV/0!</v>
      </c>
      <c r="I37" s="81" t="e">
        <f>'EU Marinas_Scenario_Calc'!N46</f>
        <v>#DIV/0!</v>
      </c>
      <c r="J37" s="81" t="e">
        <f>'EU Marinas_Scenario_Calc'!S46</f>
        <v>#DIV/0!</v>
      </c>
      <c r="K37" s="81" t="e">
        <f>'EU Marinas_Scenario_Calc'!T46</f>
        <v>#DIV/0!</v>
      </c>
      <c r="L37" s="81" t="e">
        <f>'EU Marinas_Scenario_Calc'!U46</f>
        <v>#DIV/0!</v>
      </c>
      <c r="M37" s="81" t="e">
        <f>'EU Marinas_Scenario_Calc'!V46</f>
        <v>#DIV/0!</v>
      </c>
    </row>
    <row r="38" spans="2:13" ht="14.25" x14ac:dyDescent="0.2">
      <c r="B38" s="108" t="s">
        <v>146</v>
      </c>
      <c r="C38" s="80" t="s">
        <v>14</v>
      </c>
      <c r="D38" s="80">
        <v>6</v>
      </c>
      <c r="E38" s="108" t="str">
        <f t="shared" si="0"/>
        <v>Tolylfluanid</v>
      </c>
      <c r="F38" s="81" t="e">
        <f>'EU Marinas_Scenario_Calc'!K47</f>
        <v>#DIV/0!</v>
      </c>
      <c r="G38" s="81" t="e">
        <f>'EU Marinas_Scenario_Calc'!L47</f>
        <v>#DIV/0!</v>
      </c>
      <c r="H38" s="81" t="e">
        <f>'EU Marinas_Scenario_Calc'!M47</f>
        <v>#DIV/0!</v>
      </c>
      <c r="I38" s="81" t="e">
        <f>'EU Marinas_Scenario_Calc'!N47</f>
        <v>#DIV/0!</v>
      </c>
      <c r="J38" s="81" t="e">
        <f>'EU Marinas_Scenario_Calc'!S47</f>
        <v>#DIV/0!</v>
      </c>
      <c r="K38" s="81" t="e">
        <f>'EU Marinas_Scenario_Calc'!T47</f>
        <v>#DIV/0!</v>
      </c>
      <c r="L38" s="81" t="e">
        <f>'EU Marinas_Scenario_Calc'!U47</f>
        <v>#DIV/0!</v>
      </c>
      <c r="M38" s="81" t="e">
        <f>'EU Marinas_Scenario_Calc'!V47</f>
        <v>#DIV/0!</v>
      </c>
    </row>
    <row r="39" spans="2:13" ht="14.25" x14ac:dyDescent="0.2">
      <c r="B39" s="108" t="s">
        <v>147</v>
      </c>
      <c r="C39" s="80" t="s">
        <v>14</v>
      </c>
      <c r="D39" s="80">
        <v>7</v>
      </c>
      <c r="E39" s="108" t="str">
        <f t="shared" si="0"/>
        <v>Tolylfluanid</v>
      </c>
      <c r="F39" s="81" t="e">
        <f>'EU Marinas_Scenario_Calc'!K48</f>
        <v>#DIV/0!</v>
      </c>
      <c r="G39" s="81" t="e">
        <f>'EU Marinas_Scenario_Calc'!L48</f>
        <v>#DIV/0!</v>
      </c>
      <c r="H39" s="81" t="e">
        <f>'EU Marinas_Scenario_Calc'!M48</f>
        <v>#DIV/0!</v>
      </c>
      <c r="I39" s="81" t="e">
        <f>'EU Marinas_Scenario_Calc'!N48</f>
        <v>#DIV/0!</v>
      </c>
      <c r="J39" s="81" t="e">
        <f>'EU Marinas_Scenario_Calc'!S48</f>
        <v>#DIV/0!</v>
      </c>
      <c r="K39" s="81" t="e">
        <f>'EU Marinas_Scenario_Calc'!T48</f>
        <v>#DIV/0!</v>
      </c>
      <c r="L39" s="81" t="e">
        <f>'EU Marinas_Scenario_Calc'!U48</f>
        <v>#DIV/0!</v>
      </c>
      <c r="M39" s="81" t="e">
        <f>'EU Marinas_Scenario_Calc'!V48</f>
        <v>#DIV/0!</v>
      </c>
    </row>
    <row r="40" spans="2:13" ht="14.25" x14ac:dyDescent="0.2">
      <c r="B40" s="108" t="s">
        <v>148</v>
      </c>
      <c r="C40" s="80" t="s">
        <v>14</v>
      </c>
      <c r="D40" s="80">
        <v>8</v>
      </c>
      <c r="E40" s="108" t="str">
        <f t="shared" si="0"/>
        <v>Tolylfluanid</v>
      </c>
      <c r="F40" s="81" t="e">
        <f>'EU Marinas_Scenario_Calc'!K49</f>
        <v>#DIV/0!</v>
      </c>
      <c r="G40" s="81" t="e">
        <f>'EU Marinas_Scenario_Calc'!L49</f>
        <v>#DIV/0!</v>
      </c>
      <c r="H40" s="81" t="e">
        <f>'EU Marinas_Scenario_Calc'!M49</f>
        <v>#DIV/0!</v>
      </c>
      <c r="I40" s="81" t="e">
        <f>'EU Marinas_Scenario_Calc'!N49</f>
        <v>#DIV/0!</v>
      </c>
      <c r="J40" s="81" t="e">
        <f>'EU Marinas_Scenario_Calc'!S49</f>
        <v>#DIV/0!</v>
      </c>
      <c r="K40" s="81" t="e">
        <f>'EU Marinas_Scenario_Calc'!T49</f>
        <v>#DIV/0!</v>
      </c>
      <c r="L40" s="81" t="e">
        <f>'EU Marinas_Scenario_Calc'!U49</f>
        <v>#DIV/0!</v>
      </c>
      <c r="M40" s="81" t="e">
        <f>'EU Marinas_Scenario_Calc'!V49</f>
        <v>#DIV/0!</v>
      </c>
    </row>
    <row r="41" spans="2:13" ht="14.25" x14ac:dyDescent="0.2">
      <c r="B41" s="108" t="s">
        <v>149</v>
      </c>
      <c r="C41" s="80" t="s">
        <v>14</v>
      </c>
      <c r="D41" s="80">
        <v>14</v>
      </c>
      <c r="E41" s="108" t="str">
        <f t="shared" si="0"/>
        <v>Tolylfluanid</v>
      </c>
      <c r="F41" s="81" t="e">
        <f>'EU Marinas_Scenario_Calc'!K50</f>
        <v>#DIV/0!</v>
      </c>
      <c r="G41" s="81" t="e">
        <f>'EU Marinas_Scenario_Calc'!L50</f>
        <v>#DIV/0!</v>
      </c>
      <c r="H41" s="81" t="e">
        <f>'EU Marinas_Scenario_Calc'!M50</f>
        <v>#DIV/0!</v>
      </c>
      <c r="I41" s="81" t="e">
        <f>'EU Marinas_Scenario_Calc'!N50</f>
        <v>#DIV/0!</v>
      </c>
      <c r="J41" s="81" t="e">
        <f>'EU Marinas_Scenario_Calc'!S50</f>
        <v>#DIV/0!</v>
      </c>
      <c r="K41" s="81" t="e">
        <f>'EU Marinas_Scenario_Calc'!T50</f>
        <v>#DIV/0!</v>
      </c>
      <c r="L41" s="81" t="e">
        <f>'EU Marinas_Scenario_Calc'!U50</f>
        <v>#DIV/0!</v>
      </c>
      <c r="M41" s="81" t="e">
        <f>'EU Marinas_Scenario_Calc'!V50</f>
        <v>#DIV/0!</v>
      </c>
    </row>
    <row r="42" spans="2:13" ht="14.25" x14ac:dyDescent="0.2">
      <c r="B42" s="108" t="s">
        <v>150</v>
      </c>
      <c r="C42" s="80" t="s">
        <v>14</v>
      </c>
      <c r="D42" s="80">
        <v>17</v>
      </c>
      <c r="E42" s="108" t="str">
        <f t="shared" si="0"/>
        <v>Tolylfluanid</v>
      </c>
      <c r="F42" s="81" t="e">
        <f>'EU Marinas_Scenario_Calc'!K51</f>
        <v>#DIV/0!</v>
      </c>
      <c r="G42" s="81" t="e">
        <f>'EU Marinas_Scenario_Calc'!L51</f>
        <v>#DIV/0!</v>
      </c>
      <c r="H42" s="81" t="e">
        <f>'EU Marinas_Scenario_Calc'!M51</f>
        <v>#DIV/0!</v>
      </c>
      <c r="I42" s="81" t="e">
        <f>'EU Marinas_Scenario_Calc'!N51</f>
        <v>#DIV/0!</v>
      </c>
      <c r="J42" s="81" t="e">
        <f>'EU Marinas_Scenario_Calc'!S51</f>
        <v>#DIV/0!</v>
      </c>
      <c r="K42" s="81" t="e">
        <f>'EU Marinas_Scenario_Calc'!T51</f>
        <v>#DIV/0!</v>
      </c>
      <c r="L42" s="81" t="e">
        <f>'EU Marinas_Scenario_Calc'!U51</f>
        <v>#DIV/0!</v>
      </c>
      <c r="M42" s="81" t="e">
        <f>'EU Marinas_Scenario_Calc'!V51</f>
        <v>#DIV/0!</v>
      </c>
    </row>
    <row r="43" spans="2:13" ht="14.25" x14ac:dyDescent="0.2">
      <c r="B43" s="108" t="s">
        <v>151</v>
      </c>
      <c r="C43" s="80" t="s">
        <v>14</v>
      </c>
      <c r="D43" s="80">
        <v>21</v>
      </c>
      <c r="E43" s="108" t="str">
        <f t="shared" si="0"/>
        <v>Tolylfluanid</v>
      </c>
      <c r="F43" s="81" t="e">
        <f>'EU Marinas_Scenario_Calc'!K52</f>
        <v>#DIV/0!</v>
      </c>
      <c r="G43" s="81" t="e">
        <f>'EU Marinas_Scenario_Calc'!L52</f>
        <v>#DIV/0!</v>
      </c>
      <c r="H43" s="81" t="e">
        <f>'EU Marinas_Scenario_Calc'!M52</f>
        <v>#DIV/0!</v>
      </c>
      <c r="I43" s="81" t="e">
        <f>'EU Marinas_Scenario_Calc'!N52</f>
        <v>#DIV/0!</v>
      </c>
      <c r="J43" s="81" t="e">
        <f>'EU Marinas_Scenario_Calc'!S52</f>
        <v>#DIV/0!</v>
      </c>
      <c r="K43" s="81" t="e">
        <f>'EU Marinas_Scenario_Calc'!T52</f>
        <v>#DIV/0!</v>
      </c>
      <c r="L43" s="81" t="e">
        <f>'EU Marinas_Scenario_Calc'!U52</f>
        <v>#DIV/0!</v>
      </c>
      <c r="M43" s="81" t="e">
        <f>'EU Marinas_Scenario_Calc'!V52</f>
        <v>#DIV/0!</v>
      </c>
    </row>
    <row r="44" spans="2:13" ht="14.25" x14ac:dyDescent="0.2">
      <c r="B44" s="108" t="s">
        <v>152</v>
      </c>
      <c r="C44" s="80" t="s">
        <v>14</v>
      </c>
      <c r="D44" s="80">
        <v>26</v>
      </c>
      <c r="E44" s="108" t="str">
        <f t="shared" si="0"/>
        <v>Tolylfluanid</v>
      </c>
      <c r="F44" s="81" t="e">
        <f>'EU Marinas_Scenario_Calc'!K53</f>
        <v>#DIV/0!</v>
      </c>
      <c r="G44" s="81" t="e">
        <f>'EU Marinas_Scenario_Calc'!L53</f>
        <v>#DIV/0!</v>
      </c>
      <c r="H44" s="81" t="e">
        <f>'EU Marinas_Scenario_Calc'!M53</f>
        <v>#DIV/0!</v>
      </c>
      <c r="I44" s="81" t="e">
        <f>'EU Marinas_Scenario_Calc'!N53</f>
        <v>#DIV/0!</v>
      </c>
      <c r="J44" s="81" t="e">
        <f>'EU Marinas_Scenario_Calc'!S53</f>
        <v>#DIV/0!</v>
      </c>
      <c r="K44" s="81" t="e">
        <f>'EU Marinas_Scenario_Calc'!T53</f>
        <v>#DIV/0!</v>
      </c>
      <c r="L44" s="81" t="e">
        <f>'EU Marinas_Scenario_Calc'!U53</f>
        <v>#DIV/0!</v>
      </c>
      <c r="M44" s="81" t="e">
        <f>'EU Marinas_Scenario_Calc'!V53</f>
        <v>#DIV/0!</v>
      </c>
    </row>
    <row r="45" spans="2:13" ht="14.25" x14ac:dyDescent="0.2">
      <c r="B45" s="108" t="s">
        <v>153</v>
      </c>
      <c r="C45" s="80" t="s">
        <v>14</v>
      </c>
      <c r="D45" s="80">
        <v>30</v>
      </c>
      <c r="E45" s="108" t="str">
        <f t="shared" si="0"/>
        <v>Tolylfluanid</v>
      </c>
      <c r="F45" s="81" t="e">
        <f>'EU Marinas_Scenario_Calc'!K54</f>
        <v>#DIV/0!</v>
      </c>
      <c r="G45" s="81" t="e">
        <f>'EU Marinas_Scenario_Calc'!L54</f>
        <v>#DIV/0!</v>
      </c>
      <c r="H45" s="81" t="e">
        <f>'EU Marinas_Scenario_Calc'!M54</f>
        <v>#DIV/0!</v>
      </c>
      <c r="I45" s="81" t="e">
        <f>'EU Marinas_Scenario_Calc'!N54</f>
        <v>#DIV/0!</v>
      </c>
      <c r="J45" s="81" t="e">
        <f>'EU Marinas_Scenario_Calc'!S54</f>
        <v>#DIV/0!</v>
      </c>
      <c r="K45" s="81" t="e">
        <f>'EU Marinas_Scenario_Calc'!T54</f>
        <v>#DIV/0!</v>
      </c>
      <c r="L45" s="81" t="e">
        <f>'EU Marinas_Scenario_Calc'!U54</f>
        <v>#DIV/0!</v>
      </c>
      <c r="M45" s="81" t="e">
        <f>'EU Marinas_Scenario_Calc'!V54</f>
        <v>#DIV/0!</v>
      </c>
    </row>
    <row r="46" spans="2:13" ht="14.25" x14ac:dyDescent="0.2">
      <c r="B46" s="108" t="s">
        <v>154</v>
      </c>
      <c r="C46" s="80" t="s">
        <v>14</v>
      </c>
      <c r="D46" s="80">
        <v>34</v>
      </c>
      <c r="E46" s="108" t="str">
        <f t="shared" si="0"/>
        <v>Tolylfluanid</v>
      </c>
      <c r="F46" s="81" t="e">
        <f>'EU Marinas_Scenario_Calc'!K55</f>
        <v>#DIV/0!</v>
      </c>
      <c r="G46" s="81" t="e">
        <f>'EU Marinas_Scenario_Calc'!L55</f>
        <v>#DIV/0!</v>
      </c>
      <c r="H46" s="81" t="e">
        <f>'EU Marinas_Scenario_Calc'!M55</f>
        <v>#DIV/0!</v>
      </c>
      <c r="I46" s="81" t="e">
        <f>'EU Marinas_Scenario_Calc'!N55</f>
        <v>#DIV/0!</v>
      </c>
      <c r="J46" s="81" t="e">
        <f>'EU Marinas_Scenario_Calc'!S55</f>
        <v>#DIV/0!</v>
      </c>
      <c r="K46" s="81" t="e">
        <f>'EU Marinas_Scenario_Calc'!T55</f>
        <v>#DIV/0!</v>
      </c>
      <c r="L46" s="81" t="e">
        <f>'EU Marinas_Scenario_Calc'!U55</f>
        <v>#DIV/0!</v>
      </c>
      <c r="M46" s="81" t="e">
        <f>'EU Marinas_Scenario_Calc'!V55</f>
        <v>#DIV/0!</v>
      </c>
    </row>
    <row r="47" spans="2:13" ht="14.25" x14ac:dyDescent="0.2">
      <c r="B47" s="108" t="s">
        <v>155</v>
      </c>
      <c r="C47" s="80" t="s">
        <v>14</v>
      </c>
      <c r="D47" s="80">
        <v>40</v>
      </c>
      <c r="E47" s="108" t="str">
        <f t="shared" si="0"/>
        <v>Tolylfluanid</v>
      </c>
      <c r="F47" s="81" t="e">
        <f>'EU Marinas_Scenario_Calc'!K56</f>
        <v>#DIV/0!</v>
      </c>
      <c r="G47" s="81" t="e">
        <f>'EU Marinas_Scenario_Calc'!L56</f>
        <v>#DIV/0!</v>
      </c>
      <c r="H47" s="81" t="e">
        <f>'EU Marinas_Scenario_Calc'!M56</f>
        <v>#DIV/0!</v>
      </c>
      <c r="I47" s="81" t="e">
        <f>'EU Marinas_Scenario_Calc'!N56</f>
        <v>#DIV/0!</v>
      </c>
      <c r="J47" s="81" t="e">
        <f>'EU Marinas_Scenario_Calc'!S56</f>
        <v>#DIV/0!</v>
      </c>
      <c r="K47" s="81" t="e">
        <f>'EU Marinas_Scenario_Calc'!T56</f>
        <v>#DIV/0!</v>
      </c>
      <c r="L47" s="81" t="e">
        <f>'EU Marinas_Scenario_Calc'!U56</f>
        <v>#DIV/0!</v>
      </c>
      <c r="M47" s="81" t="e">
        <f>'EU Marinas_Scenario_Calc'!V56</f>
        <v>#DIV/0!</v>
      </c>
    </row>
    <row r="48" spans="2:13" ht="14.25" x14ac:dyDescent="0.2">
      <c r="B48" s="108" t="s">
        <v>156</v>
      </c>
      <c r="C48" s="80" t="s">
        <v>14</v>
      </c>
      <c r="D48" s="80">
        <v>42</v>
      </c>
      <c r="E48" s="108" t="str">
        <f t="shared" si="0"/>
        <v>Tolylfluanid</v>
      </c>
      <c r="F48" s="81" t="e">
        <f>'EU Marinas_Scenario_Calc'!K57</f>
        <v>#DIV/0!</v>
      </c>
      <c r="G48" s="81" t="e">
        <f>'EU Marinas_Scenario_Calc'!L57</f>
        <v>#DIV/0!</v>
      </c>
      <c r="H48" s="81" t="e">
        <f>'EU Marinas_Scenario_Calc'!M57</f>
        <v>#DIV/0!</v>
      </c>
      <c r="I48" s="81" t="e">
        <f>'EU Marinas_Scenario_Calc'!N57</f>
        <v>#DIV/0!</v>
      </c>
      <c r="J48" s="81" t="e">
        <f>'EU Marinas_Scenario_Calc'!S57</f>
        <v>#DIV/0!</v>
      </c>
      <c r="K48" s="81" t="e">
        <f>'EU Marinas_Scenario_Calc'!T57</f>
        <v>#DIV/0!</v>
      </c>
      <c r="L48" s="81" t="e">
        <f>'EU Marinas_Scenario_Calc'!U57</f>
        <v>#DIV/0!</v>
      </c>
      <c r="M48" s="81" t="e">
        <f>'EU Marinas_Scenario_Calc'!V57</f>
        <v>#DIV/0!</v>
      </c>
    </row>
    <row r="49" spans="2:15" ht="14.25" x14ac:dyDescent="0.2">
      <c r="B49" s="108" t="s">
        <v>157</v>
      </c>
      <c r="C49" s="80" t="s">
        <v>14</v>
      </c>
      <c r="D49" s="80">
        <v>44</v>
      </c>
      <c r="E49" s="108" t="str">
        <f t="shared" si="0"/>
        <v>Tolylfluanid</v>
      </c>
      <c r="F49" s="81" t="e">
        <f>'EU Marinas_Scenario_Calc'!K58</f>
        <v>#DIV/0!</v>
      </c>
      <c r="G49" s="81" t="e">
        <f>'EU Marinas_Scenario_Calc'!L58</f>
        <v>#DIV/0!</v>
      </c>
      <c r="H49" s="81" t="e">
        <f>'EU Marinas_Scenario_Calc'!M58</f>
        <v>#DIV/0!</v>
      </c>
      <c r="I49" s="81" t="e">
        <f>'EU Marinas_Scenario_Calc'!N58</f>
        <v>#DIV/0!</v>
      </c>
      <c r="J49" s="81" t="e">
        <f>'EU Marinas_Scenario_Calc'!S58</f>
        <v>#DIV/0!</v>
      </c>
      <c r="K49" s="81" t="e">
        <f>'EU Marinas_Scenario_Calc'!T58</f>
        <v>#DIV/0!</v>
      </c>
      <c r="L49" s="81" t="e">
        <f>'EU Marinas_Scenario_Calc'!U58</f>
        <v>#DIV/0!</v>
      </c>
      <c r="M49" s="81" t="e">
        <f>'EU Marinas_Scenario_Calc'!V58</f>
        <v>#DIV/0!</v>
      </c>
    </row>
    <row r="50" spans="2:15" ht="14.25" x14ac:dyDescent="0.2">
      <c r="B50" s="108" t="s">
        <v>158</v>
      </c>
      <c r="C50" s="80" t="s">
        <v>14</v>
      </c>
      <c r="D50" s="80">
        <v>45</v>
      </c>
      <c r="E50" s="108" t="str">
        <f t="shared" si="0"/>
        <v>Tolylfluanid</v>
      </c>
      <c r="F50" s="81" t="e">
        <f>'EU Marinas_Scenario_Calc'!K59</f>
        <v>#DIV/0!</v>
      </c>
      <c r="G50" s="81" t="e">
        <f>'EU Marinas_Scenario_Calc'!L59</f>
        <v>#DIV/0!</v>
      </c>
      <c r="H50" s="81" t="e">
        <f>'EU Marinas_Scenario_Calc'!M59</f>
        <v>#DIV/0!</v>
      </c>
      <c r="I50" s="81" t="e">
        <f>'EU Marinas_Scenario_Calc'!N59</f>
        <v>#DIV/0!</v>
      </c>
      <c r="J50" s="81" t="e">
        <f>'EU Marinas_Scenario_Calc'!S59</f>
        <v>#DIV/0!</v>
      </c>
      <c r="K50" s="81" t="e">
        <f>'EU Marinas_Scenario_Calc'!T59</f>
        <v>#DIV/0!</v>
      </c>
      <c r="L50" s="81" t="e">
        <f>'EU Marinas_Scenario_Calc'!U59</f>
        <v>#DIV/0!</v>
      </c>
      <c r="M50" s="81" t="e">
        <f>'EU Marinas_Scenario_Calc'!V59</f>
        <v>#DIV/0!</v>
      </c>
    </row>
    <row r="51" spans="2:15" ht="14.25" x14ac:dyDescent="0.2">
      <c r="B51" s="108" t="s">
        <v>159</v>
      </c>
      <c r="C51" s="80" t="s">
        <v>14</v>
      </c>
      <c r="D51" s="80">
        <v>46</v>
      </c>
      <c r="E51" s="108" t="str">
        <f t="shared" si="0"/>
        <v>Tolylfluanid</v>
      </c>
      <c r="F51" s="81" t="e">
        <f>'EU Marinas_Scenario_Calc'!K60</f>
        <v>#DIV/0!</v>
      </c>
      <c r="G51" s="81" t="e">
        <f>'EU Marinas_Scenario_Calc'!L60</f>
        <v>#DIV/0!</v>
      </c>
      <c r="H51" s="81" t="e">
        <f>'EU Marinas_Scenario_Calc'!M60</f>
        <v>#DIV/0!</v>
      </c>
      <c r="I51" s="81" t="e">
        <f>'EU Marinas_Scenario_Calc'!N60</f>
        <v>#DIV/0!</v>
      </c>
      <c r="J51" s="81" t="e">
        <f>'EU Marinas_Scenario_Calc'!S60</f>
        <v>#DIV/0!</v>
      </c>
      <c r="K51" s="81" t="e">
        <f>'EU Marinas_Scenario_Calc'!T60</f>
        <v>#DIV/0!</v>
      </c>
      <c r="L51" s="81" t="e">
        <f>'EU Marinas_Scenario_Calc'!U60</f>
        <v>#DIV/0!</v>
      </c>
      <c r="M51" s="81" t="e">
        <f>'EU Marinas_Scenario_Calc'!V60</f>
        <v>#DIV/0!</v>
      </c>
    </row>
    <row r="52" spans="2:15" ht="14.25" x14ac:dyDescent="0.2">
      <c r="B52" s="108" t="s">
        <v>160</v>
      </c>
      <c r="C52" s="80" t="s">
        <v>14</v>
      </c>
      <c r="D52" s="80">
        <v>48</v>
      </c>
      <c r="E52" s="108" t="str">
        <f t="shared" si="0"/>
        <v>Tolylfluanid</v>
      </c>
      <c r="F52" s="81" t="e">
        <f>'EU Marinas_Scenario_Calc'!K61</f>
        <v>#DIV/0!</v>
      </c>
      <c r="G52" s="81" t="e">
        <f>'EU Marinas_Scenario_Calc'!L61</f>
        <v>#DIV/0!</v>
      </c>
      <c r="H52" s="81" t="e">
        <f>'EU Marinas_Scenario_Calc'!M61</f>
        <v>#DIV/0!</v>
      </c>
      <c r="I52" s="81" t="e">
        <f>'EU Marinas_Scenario_Calc'!N61</f>
        <v>#DIV/0!</v>
      </c>
      <c r="J52" s="81" t="e">
        <f>'EU Marinas_Scenario_Calc'!S61</f>
        <v>#DIV/0!</v>
      </c>
      <c r="K52" s="81" t="e">
        <f>'EU Marinas_Scenario_Calc'!T61</f>
        <v>#DIV/0!</v>
      </c>
      <c r="L52" s="81" t="e">
        <f>'EU Marinas_Scenario_Calc'!U61</f>
        <v>#DIV/0!</v>
      </c>
      <c r="M52" s="81" t="e">
        <f>'EU Marinas_Scenario_Calc'!V61</f>
        <v>#DIV/0!</v>
      </c>
    </row>
    <row r="53" spans="2:15" ht="14.25" x14ac:dyDescent="0.2">
      <c r="B53" s="108" t="s">
        <v>161</v>
      </c>
      <c r="C53" s="80" t="s">
        <v>162</v>
      </c>
      <c r="D53" s="80">
        <v>1</v>
      </c>
      <c r="E53" s="108" t="str">
        <f t="shared" si="0"/>
        <v>Tolylfluanid</v>
      </c>
      <c r="F53" s="81" t="e">
        <f>'EU Marinas_Scenario_Calc'!K62</f>
        <v>#DIV/0!</v>
      </c>
      <c r="G53" s="81" t="e">
        <f>'EU Marinas_Scenario_Calc'!L62</f>
        <v>#DIV/0!</v>
      </c>
      <c r="H53" s="81" t="e">
        <f>'EU Marinas_Scenario_Calc'!M62</f>
        <v>#DIV/0!</v>
      </c>
      <c r="I53" s="81" t="e">
        <f>'EU Marinas_Scenario_Calc'!N62</f>
        <v>#DIV/0!</v>
      </c>
      <c r="J53" s="81" t="e">
        <f>'EU Marinas_Scenario_Calc'!S62</f>
        <v>#DIV/0!</v>
      </c>
      <c r="K53" s="81" t="e">
        <f>'EU Marinas_Scenario_Calc'!T62</f>
        <v>#DIV/0!</v>
      </c>
      <c r="L53" s="81" t="e">
        <f>'EU Marinas_Scenario_Calc'!U62</f>
        <v>#DIV/0!</v>
      </c>
      <c r="M53" s="81" t="e">
        <f>'EU Marinas_Scenario_Calc'!V62</f>
        <v>#DIV/0!</v>
      </c>
    </row>
    <row r="54" spans="2:15" ht="14.25" x14ac:dyDescent="0.2">
      <c r="B54" s="108" t="s">
        <v>163</v>
      </c>
      <c r="C54" s="80" t="s">
        <v>162</v>
      </c>
      <c r="D54" s="80">
        <v>2</v>
      </c>
      <c r="E54" s="108" t="str">
        <f t="shared" si="0"/>
        <v>Tolylfluanid</v>
      </c>
      <c r="F54" s="81" t="e">
        <f>'EU Marinas_Scenario_Calc'!K63</f>
        <v>#DIV/0!</v>
      </c>
      <c r="G54" s="81" t="e">
        <f>'EU Marinas_Scenario_Calc'!L63</f>
        <v>#DIV/0!</v>
      </c>
      <c r="H54" s="81" t="e">
        <f>'EU Marinas_Scenario_Calc'!M63</f>
        <v>#DIV/0!</v>
      </c>
      <c r="I54" s="81" t="e">
        <f>'EU Marinas_Scenario_Calc'!N63</f>
        <v>#DIV/0!</v>
      </c>
      <c r="J54" s="81" t="e">
        <f>'EU Marinas_Scenario_Calc'!S63</f>
        <v>#DIV/0!</v>
      </c>
      <c r="K54" s="81" t="e">
        <f>'EU Marinas_Scenario_Calc'!T63</f>
        <v>#DIV/0!</v>
      </c>
      <c r="L54" s="81" t="e">
        <f>'EU Marinas_Scenario_Calc'!U63</f>
        <v>#DIV/0!</v>
      </c>
      <c r="M54" s="81" t="e">
        <f>'EU Marinas_Scenario_Calc'!V63</f>
        <v>#DIV/0!</v>
      </c>
    </row>
    <row r="55" spans="2:15" ht="14.25" x14ac:dyDescent="0.2">
      <c r="B55" s="108" t="s">
        <v>164</v>
      </c>
      <c r="C55" s="80" t="s">
        <v>162</v>
      </c>
      <c r="D55" s="80">
        <v>3</v>
      </c>
      <c r="E55" s="108" t="str">
        <f t="shared" si="0"/>
        <v>Tolylfluanid</v>
      </c>
      <c r="F55" s="81" t="e">
        <f>'EU Marinas_Scenario_Calc'!K64</f>
        <v>#DIV/0!</v>
      </c>
      <c r="G55" s="81" t="e">
        <f>'EU Marinas_Scenario_Calc'!L64</f>
        <v>#DIV/0!</v>
      </c>
      <c r="H55" s="81" t="e">
        <f>'EU Marinas_Scenario_Calc'!M64</f>
        <v>#DIV/0!</v>
      </c>
      <c r="I55" s="81" t="e">
        <f>'EU Marinas_Scenario_Calc'!N64</f>
        <v>#DIV/0!</v>
      </c>
      <c r="J55" s="81" t="e">
        <f>'EU Marinas_Scenario_Calc'!S64</f>
        <v>#DIV/0!</v>
      </c>
      <c r="K55" s="81" t="e">
        <f>'EU Marinas_Scenario_Calc'!T64</f>
        <v>#DIV/0!</v>
      </c>
      <c r="L55" s="81" t="e">
        <f>'EU Marinas_Scenario_Calc'!U64</f>
        <v>#DIV/0!</v>
      </c>
      <c r="M55" s="81" t="e">
        <f>'EU Marinas_Scenario_Calc'!V64</f>
        <v>#DIV/0!</v>
      </c>
    </row>
    <row r="56" spans="2:15" ht="14.25" x14ac:dyDescent="0.2">
      <c r="B56" s="108" t="s">
        <v>165</v>
      </c>
      <c r="C56" s="80" t="s">
        <v>162</v>
      </c>
      <c r="D56" s="80">
        <v>4</v>
      </c>
      <c r="E56" s="108" t="str">
        <f t="shared" si="0"/>
        <v>Tolylfluanid</v>
      </c>
      <c r="F56" s="81" t="e">
        <f>'EU Marinas_Scenario_Calc'!K65</f>
        <v>#DIV/0!</v>
      </c>
      <c r="G56" s="81" t="e">
        <f>'EU Marinas_Scenario_Calc'!L65</f>
        <v>#DIV/0!</v>
      </c>
      <c r="H56" s="81" t="e">
        <f>'EU Marinas_Scenario_Calc'!M65</f>
        <v>#DIV/0!</v>
      </c>
      <c r="I56" s="81" t="e">
        <f>'EU Marinas_Scenario_Calc'!N65</f>
        <v>#DIV/0!</v>
      </c>
      <c r="J56" s="81" t="e">
        <f>'EU Marinas_Scenario_Calc'!S65</f>
        <v>#DIV/0!</v>
      </c>
      <c r="K56" s="81" t="e">
        <f>'EU Marinas_Scenario_Calc'!T65</f>
        <v>#DIV/0!</v>
      </c>
      <c r="L56" s="81" t="e">
        <f>'EU Marinas_Scenario_Calc'!U65</f>
        <v>#DIV/0!</v>
      </c>
      <c r="M56" s="81" t="e">
        <f>'EU Marinas_Scenario_Calc'!V65</f>
        <v>#DIV/0!</v>
      </c>
    </row>
    <row r="57" spans="2:15" ht="14.25" x14ac:dyDescent="0.2">
      <c r="B57" s="108" t="s">
        <v>166</v>
      </c>
      <c r="C57" s="80" t="s">
        <v>162</v>
      </c>
      <c r="D57" s="80">
        <v>5</v>
      </c>
      <c r="E57" s="108" t="str">
        <f t="shared" si="0"/>
        <v>Tolylfluanid</v>
      </c>
      <c r="F57" s="81" t="e">
        <f>'EU Marinas_Scenario_Calc'!K66</f>
        <v>#DIV/0!</v>
      </c>
      <c r="G57" s="81" t="e">
        <f>'EU Marinas_Scenario_Calc'!L66</f>
        <v>#DIV/0!</v>
      </c>
      <c r="H57" s="81" t="e">
        <f>'EU Marinas_Scenario_Calc'!M66</f>
        <v>#DIV/0!</v>
      </c>
      <c r="I57" s="81" t="e">
        <f>'EU Marinas_Scenario_Calc'!N66</f>
        <v>#DIV/0!</v>
      </c>
      <c r="J57" s="81" t="e">
        <f>'EU Marinas_Scenario_Calc'!S66</f>
        <v>#DIV/0!</v>
      </c>
      <c r="K57" s="81" t="e">
        <f>'EU Marinas_Scenario_Calc'!T66</f>
        <v>#DIV/0!</v>
      </c>
      <c r="L57" s="81" t="e">
        <f>'EU Marinas_Scenario_Calc'!U66</f>
        <v>#DIV/0!</v>
      </c>
      <c r="M57" s="81" t="e">
        <f>'EU Marinas_Scenario_Calc'!V66</f>
        <v>#DIV/0!</v>
      </c>
    </row>
    <row r="58" spans="2:15" x14ac:dyDescent="0.2">
      <c r="B58" s="167" t="s">
        <v>86</v>
      </c>
      <c r="C58" s="167"/>
      <c r="D58" s="167"/>
      <c r="E58" s="167"/>
      <c r="F58" s="82" t="e">
        <f>'EU Marinas_Scenario_Calc'!K69</f>
        <v>#DIV/0!</v>
      </c>
      <c r="G58" s="82" t="e">
        <f>'EU Marinas_Scenario_Calc'!L69</f>
        <v>#DIV/0!</v>
      </c>
      <c r="H58" s="82" t="e">
        <f>'EU Marinas_Scenario_Calc'!M69</f>
        <v>#DIV/0!</v>
      </c>
      <c r="I58" s="82" t="e">
        <f>'EU Marinas_Scenario_Calc'!N69</f>
        <v>#DIV/0!</v>
      </c>
      <c r="J58" s="82" t="e">
        <f>'EU Marinas_Scenario_Calc'!S69</f>
        <v>#DIV/0!</v>
      </c>
      <c r="K58" s="82" t="e">
        <f>'EU Marinas_Scenario_Calc'!T69</f>
        <v>#DIV/0!</v>
      </c>
      <c r="L58" s="82" t="e">
        <f>'EU Marinas_Scenario_Calc'!U69</f>
        <v>#DIV/0!</v>
      </c>
      <c r="M58" s="82" t="e">
        <f>'EU Marinas_Scenario_Calc'!V69</f>
        <v>#DIV/0!</v>
      </c>
    </row>
    <row r="59" spans="2:15" x14ac:dyDescent="0.2">
      <c r="B59" s="167" t="s">
        <v>15</v>
      </c>
      <c r="C59" s="167"/>
      <c r="D59" s="167"/>
      <c r="E59" s="167"/>
      <c r="F59" s="82" t="e">
        <f>'EU Marinas_Scenario_Calc'!K67</f>
        <v>#DIV/0!</v>
      </c>
      <c r="G59" s="82" t="e">
        <f>'EU Marinas_Scenario_Calc'!L67</f>
        <v>#DIV/0!</v>
      </c>
      <c r="H59" s="82" t="e">
        <f>'EU Marinas_Scenario_Calc'!M67</f>
        <v>#DIV/0!</v>
      </c>
      <c r="I59" s="82" t="e">
        <f>'EU Marinas_Scenario_Calc'!N67</f>
        <v>#DIV/0!</v>
      </c>
      <c r="J59" s="82" t="e">
        <f>'EU Marinas_Scenario_Calc'!S67</f>
        <v>#DIV/0!</v>
      </c>
      <c r="K59" s="82" t="e">
        <f>'EU Marinas_Scenario_Calc'!T67</f>
        <v>#DIV/0!</v>
      </c>
      <c r="L59" s="82" t="e">
        <f>'EU Marinas_Scenario_Calc'!U67</f>
        <v>#DIV/0!</v>
      </c>
      <c r="M59" s="82" t="e">
        <f>'EU Marinas_Scenario_Calc'!V67</f>
        <v>#DIV/0!</v>
      </c>
    </row>
    <row r="60" spans="2:15" x14ac:dyDescent="0.2">
      <c r="B60" s="167" t="s">
        <v>16</v>
      </c>
      <c r="C60" s="167"/>
      <c r="D60" s="167"/>
      <c r="E60" s="167"/>
      <c r="F60" s="82" t="e">
        <f>'EU Marinas_Scenario_Calc'!K68</f>
        <v>#DIV/0!</v>
      </c>
      <c r="G60" s="82" t="e">
        <f>'EU Marinas_Scenario_Calc'!L68</f>
        <v>#DIV/0!</v>
      </c>
      <c r="H60" s="82" t="e">
        <f>'EU Marinas_Scenario_Calc'!M68</f>
        <v>#DIV/0!</v>
      </c>
      <c r="I60" s="82" t="e">
        <f>'EU Marinas_Scenario_Calc'!N68</f>
        <v>#DIV/0!</v>
      </c>
      <c r="J60" s="82" t="e">
        <f>'EU Marinas_Scenario_Calc'!S68</f>
        <v>#DIV/0!</v>
      </c>
      <c r="K60" s="82" t="e">
        <f>'EU Marinas_Scenario_Calc'!T68</f>
        <v>#DIV/0!</v>
      </c>
      <c r="L60" s="82" t="e">
        <f>'EU Marinas_Scenario_Calc'!U68</f>
        <v>#DIV/0!</v>
      </c>
      <c r="M60" s="82" t="e">
        <f>'EU Marinas_Scenario_Calc'!V68</f>
        <v>#DIV/0!</v>
      </c>
    </row>
    <row r="61" spans="2:15" x14ac:dyDescent="0.2">
      <c r="B61"/>
      <c r="C61"/>
      <c r="D61"/>
      <c r="E61"/>
      <c r="F61"/>
      <c r="G61"/>
      <c r="H61"/>
      <c r="I61"/>
      <c r="J61"/>
      <c r="K61"/>
      <c r="L61"/>
      <c r="M61"/>
    </row>
    <row r="62" spans="2:15" x14ac:dyDescent="0.2">
      <c r="B62" s="71"/>
      <c r="C62" s="71"/>
      <c r="D62" s="71"/>
      <c r="E62" s="72"/>
      <c r="F62" s="73"/>
      <c r="G62" s="73"/>
      <c r="H62" s="73"/>
      <c r="I62" s="73"/>
      <c r="J62" s="71"/>
      <c r="K62" s="71"/>
      <c r="L62" s="71"/>
      <c r="M62" s="71"/>
      <c r="N62" s="16"/>
      <c r="O62" s="16"/>
    </row>
    <row r="63" spans="2:15" x14ac:dyDescent="0.2">
      <c r="B63" s="71"/>
      <c r="C63" s="71"/>
      <c r="D63" s="71"/>
      <c r="E63" s="72"/>
      <c r="F63" s="73"/>
      <c r="G63" s="73"/>
      <c r="H63" s="73"/>
      <c r="I63" s="73"/>
      <c r="J63" s="71"/>
      <c r="K63" s="71"/>
      <c r="L63" s="71"/>
      <c r="M63" s="71"/>
      <c r="N63" s="16"/>
      <c r="O63" s="16"/>
    </row>
    <row r="64" spans="2:15" x14ac:dyDescent="0.2">
      <c r="B64" s="71"/>
      <c r="C64" s="71"/>
      <c r="D64" s="71"/>
      <c r="E64" s="72"/>
      <c r="F64" s="73"/>
      <c r="G64" s="73"/>
      <c r="H64" s="73"/>
      <c r="I64" s="73"/>
      <c r="J64" s="71"/>
      <c r="K64" s="71"/>
      <c r="L64" s="71"/>
      <c r="M64" s="71"/>
      <c r="N64" s="16"/>
      <c r="O64" s="16"/>
    </row>
    <row r="65" spans="2:15" x14ac:dyDescent="0.2">
      <c r="B65" s="71"/>
      <c r="C65" s="71"/>
      <c r="D65" s="71"/>
      <c r="E65" s="72"/>
      <c r="F65" s="73"/>
      <c r="G65" s="73"/>
      <c r="H65" s="73"/>
      <c r="I65" s="73"/>
      <c r="J65" s="71"/>
      <c r="K65" s="71"/>
      <c r="L65" s="71"/>
      <c r="M65" s="71"/>
      <c r="N65" s="16"/>
      <c r="O65" s="16"/>
    </row>
    <row r="66" spans="2:15" x14ac:dyDescent="0.2">
      <c r="B66" s="71"/>
      <c r="C66" s="71"/>
      <c r="D66" s="71"/>
      <c r="E66" s="72"/>
      <c r="F66" s="73"/>
      <c r="G66" s="73"/>
      <c r="H66" s="73"/>
      <c r="I66" s="73"/>
      <c r="J66" s="71"/>
      <c r="K66" s="71"/>
      <c r="L66" s="71"/>
      <c r="M66" s="71"/>
      <c r="N66" s="16"/>
      <c r="O66" s="16"/>
    </row>
    <row r="67" spans="2:15" x14ac:dyDescent="0.2">
      <c r="B67" s="71"/>
      <c r="C67" s="71"/>
      <c r="D67" s="71"/>
      <c r="E67" s="72"/>
      <c r="F67" s="73"/>
      <c r="G67" s="73"/>
      <c r="H67" s="73"/>
      <c r="I67" s="73"/>
      <c r="J67" s="71"/>
      <c r="K67" s="71"/>
      <c r="L67" s="71"/>
      <c r="M67" s="71"/>
      <c r="N67" s="16"/>
      <c r="O67" s="16"/>
    </row>
    <row r="68" spans="2:15" x14ac:dyDescent="0.2">
      <c r="B68" s="71"/>
      <c r="C68" s="71"/>
      <c r="D68" s="71"/>
      <c r="E68" s="72"/>
      <c r="F68" s="73"/>
      <c r="G68" s="73"/>
      <c r="H68" s="73"/>
      <c r="I68" s="73"/>
      <c r="J68" s="71"/>
      <c r="K68" s="71"/>
      <c r="L68" s="71"/>
      <c r="M68" s="71"/>
      <c r="N68" s="16"/>
      <c r="O68" s="16"/>
    </row>
    <row r="69" spans="2:15" x14ac:dyDescent="0.2">
      <c r="B69" s="71"/>
      <c r="C69" s="71"/>
      <c r="D69" s="71"/>
      <c r="E69" s="72"/>
      <c r="F69" s="73"/>
      <c r="G69" s="73"/>
      <c r="H69" s="73"/>
      <c r="I69" s="73"/>
      <c r="J69" s="71"/>
      <c r="K69" s="71"/>
      <c r="L69" s="71"/>
      <c r="M69" s="71"/>
      <c r="N69" s="16"/>
      <c r="O69" s="16"/>
    </row>
    <row r="70" spans="2:15" x14ac:dyDescent="0.2">
      <c r="B70" s="71"/>
      <c r="C70" s="71"/>
      <c r="D70" s="71"/>
      <c r="E70" s="72"/>
      <c r="F70" s="73"/>
      <c r="G70" s="73"/>
      <c r="H70" s="73"/>
      <c r="I70" s="73"/>
      <c r="J70" s="71"/>
      <c r="K70" s="71"/>
      <c r="L70" s="71"/>
      <c r="M70" s="71"/>
      <c r="N70" s="16"/>
      <c r="O70" s="16"/>
    </row>
    <row r="71" spans="2:15" x14ac:dyDescent="0.2">
      <c r="B71" s="71"/>
      <c r="C71" s="71"/>
      <c r="D71" s="71"/>
      <c r="E71" s="72"/>
      <c r="F71" s="73"/>
      <c r="G71" s="73"/>
      <c r="H71" s="73"/>
      <c r="I71" s="73"/>
      <c r="J71" s="71"/>
      <c r="K71" s="71"/>
      <c r="L71" s="71"/>
      <c r="M71" s="71"/>
      <c r="N71" s="16"/>
      <c r="O71" s="16"/>
    </row>
    <row r="72" spans="2:15" x14ac:dyDescent="0.2">
      <c r="B72" s="71"/>
      <c r="C72" s="71"/>
      <c r="D72" s="71"/>
      <c r="E72" s="72"/>
      <c r="F72" s="73"/>
      <c r="G72" s="73"/>
      <c r="H72" s="73"/>
      <c r="I72" s="73"/>
      <c r="J72" s="71"/>
      <c r="K72" s="71"/>
      <c r="L72" s="71"/>
      <c r="M72" s="71"/>
      <c r="N72" s="16"/>
      <c r="O72" s="16"/>
    </row>
    <row r="73" spans="2:15" x14ac:dyDescent="0.2">
      <c r="B73" s="71"/>
      <c r="C73" s="71"/>
      <c r="D73" s="71"/>
      <c r="E73" s="72"/>
      <c r="F73" s="73"/>
      <c r="G73" s="73"/>
      <c r="H73" s="73"/>
      <c r="I73" s="73"/>
      <c r="J73" s="71"/>
      <c r="K73" s="71"/>
      <c r="L73" s="71"/>
      <c r="M73" s="71"/>
      <c r="N73" s="16"/>
      <c r="O73" s="16"/>
    </row>
    <row r="74" spans="2:15" x14ac:dyDescent="0.2">
      <c r="B74" s="71"/>
      <c r="C74" s="71"/>
      <c r="D74" s="71"/>
      <c r="E74" s="72"/>
      <c r="F74" s="73"/>
      <c r="G74" s="73"/>
      <c r="H74" s="73"/>
      <c r="I74" s="73"/>
      <c r="J74" s="71"/>
      <c r="K74" s="71"/>
      <c r="L74" s="71"/>
      <c r="M74" s="71"/>
      <c r="N74" s="16"/>
      <c r="O74" s="16"/>
    </row>
    <row r="75" spans="2:15" x14ac:dyDescent="0.2">
      <c r="B75" s="71"/>
      <c r="C75" s="71"/>
      <c r="D75" s="71"/>
      <c r="E75" s="72"/>
      <c r="F75" s="73"/>
      <c r="G75" s="73"/>
      <c r="H75" s="73"/>
      <c r="I75" s="73"/>
      <c r="J75" s="71"/>
      <c r="K75" s="71"/>
      <c r="L75" s="71"/>
      <c r="M75" s="71"/>
      <c r="N75" s="16"/>
      <c r="O75" s="16"/>
    </row>
    <row r="76" spans="2:15" x14ac:dyDescent="0.2">
      <c r="B76" s="71"/>
      <c r="C76" s="71"/>
      <c r="D76" s="71"/>
      <c r="E76" s="72"/>
      <c r="F76" s="73"/>
      <c r="G76" s="73"/>
      <c r="H76" s="73"/>
      <c r="I76" s="73"/>
      <c r="J76" s="71"/>
      <c r="K76" s="71"/>
      <c r="L76" s="71"/>
      <c r="M76" s="71"/>
      <c r="N76" s="16"/>
      <c r="O76" s="16"/>
    </row>
    <row r="77" spans="2:15" x14ac:dyDescent="0.2">
      <c r="B77" s="16"/>
      <c r="C77" s="16"/>
      <c r="D77" s="16"/>
      <c r="E77" s="16"/>
      <c r="F77" s="16"/>
      <c r="G77" s="16"/>
      <c r="H77" s="16"/>
      <c r="I77" s="16"/>
      <c r="J77" s="16"/>
      <c r="K77" s="16"/>
      <c r="L77" s="16"/>
      <c r="M77" s="16"/>
      <c r="N77" s="16"/>
      <c r="O77" s="16"/>
    </row>
    <row r="78" spans="2:15" x14ac:dyDescent="0.2">
      <c r="B78" s="16"/>
      <c r="C78" s="16"/>
      <c r="D78" s="16"/>
      <c r="E78" s="16"/>
      <c r="F78" s="16"/>
      <c r="G78" s="16"/>
      <c r="H78" s="16"/>
      <c r="I78" s="16"/>
      <c r="J78" s="16"/>
      <c r="K78" s="16"/>
      <c r="L78" s="16"/>
      <c r="M78" s="16"/>
      <c r="N78" s="16"/>
      <c r="O78" s="16"/>
    </row>
  </sheetData>
  <mergeCells count="11">
    <mergeCell ref="B10:M10"/>
    <mergeCell ref="B60:E60"/>
    <mergeCell ref="B58:E58"/>
    <mergeCell ref="B59:E59"/>
    <mergeCell ref="B2:N2"/>
    <mergeCell ref="B8:F8"/>
    <mergeCell ref="B7:F7"/>
    <mergeCell ref="B6:F6"/>
    <mergeCell ref="B5:F5"/>
    <mergeCell ref="B4:G4"/>
    <mergeCell ref="B3:D3"/>
  </mergeCells>
  <conditionalFormatting sqref="J12:M60">
    <cfRule type="cellIs" dxfId="5" priority="1" operator="lessThan">
      <formula>1</formula>
    </cfRule>
    <cfRule type="cellIs" dxfId="4" priority="2" operator="greaterThan">
      <formula>1</formula>
    </cfRule>
    <cfRule type="cellIs" dxfId="3"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zoomScale="90" zoomScaleNormal="90" workbookViewId="0"/>
  </sheetViews>
  <sheetFormatPr defaultRowHeight="12.75" x14ac:dyDescent="0.2"/>
  <cols>
    <col min="2" max="2" width="31.625" customWidth="1"/>
    <col min="3" max="3" width="25.625" customWidth="1"/>
    <col min="4" max="11" width="11.625" customWidth="1"/>
  </cols>
  <sheetData>
    <row r="2" spans="2:12" ht="21" customHeight="1" thickBot="1" x14ac:dyDescent="0.35">
      <c r="B2" s="168" t="s">
        <v>105</v>
      </c>
      <c r="C2" s="168"/>
      <c r="D2" s="168"/>
      <c r="E2" s="168"/>
      <c r="F2" s="168"/>
      <c r="G2" s="168"/>
      <c r="H2" s="168"/>
      <c r="I2" s="168"/>
      <c r="J2" s="168"/>
      <c r="K2" s="168"/>
      <c r="L2" s="168"/>
    </row>
    <row r="3" spans="2:12" ht="13.5" thickTop="1" x14ac:dyDescent="0.2">
      <c r="B3" s="128" t="str">
        <f>Tooltype</f>
        <v>Freshwater calculator tool</v>
      </c>
      <c r="C3" s="3"/>
      <c r="D3" s="3"/>
      <c r="E3" s="3"/>
      <c r="F3" s="3"/>
      <c r="G3" s="3"/>
      <c r="H3" s="3"/>
      <c r="I3" s="3"/>
      <c r="J3" s="3"/>
      <c r="K3" s="3"/>
    </row>
    <row r="4" spans="2:12" ht="15" x14ac:dyDescent="0.2">
      <c r="B4" s="170" t="s">
        <v>90</v>
      </c>
      <c r="C4" s="170"/>
      <c r="D4" s="170"/>
      <c r="E4" s="170"/>
      <c r="F4" s="3"/>
      <c r="G4" s="3"/>
      <c r="H4" s="3"/>
      <c r="I4" s="3"/>
      <c r="J4" s="3"/>
      <c r="K4" s="3"/>
    </row>
    <row r="5" spans="2:12" x14ac:dyDescent="0.2">
      <c r="B5" s="169" t="s">
        <v>202</v>
      </c>
      <c r="C5" s="169"/>
      <c r="D5" s="169"/>
      <c r="E5" s="109">
        <f>PNEC_Aquatic_Inside</f>
        <v>0.26500000000000001</v>
      </c>
      <c r="F5" s="3"/>
      <c r="G5" s="3"/>
      <c r="H5" s="3"/>
      <c r="I5" s="3"/>
      <c r="J5" s="3"/>
      <c r="K5" s="3"/>
    </row>
    <row r="6" spans="2:12" x14ac:dyDescent="0.2">
      <c r="B6" s="169" t="s">
        <v>203</v>
      </c>
      <c r="C6" s="169"/>
      <c r="D6" s="169"/>
      <c r="E6" s="109">
        <f>PNEC_Sediment_Inside</f>
        <v>0</v>
      </c>
      <c r="F6" s="3"/>
      <c r="G6" s="3"/>
      <c r="H6" s="3"/>
      <c r="I6" s="3"/>
      <c r="J6" s="3"/>
      <c r="K6" s="3"/>
    </row>
    <row r="7" spans="2:12" x14ac:dyDescent="0.2">
      <c r="B7" s="169" t="s">
        <v>204</v>
      </c>
      <c r="C7" s="169"/>
      <c r="D7" s="169"/>
      <c r="E7" s="109">
        <f>PNEC_Aquatic_Surrounding</f>
        <v>0.26500000000000001</v>
      </c>
      <c r="F7" s="3"/>
      <c r="G7" s="3"/>
      <c r="H7" s="3"/>
      <c r="I7" s="3"/>
      <c r="J7" s="3"/>
      <c r="K7" s="3"/>
    </row>
    <row r="8" spans="2:12" x14ac:dyDescent="0.2">
      <c r="B8" s="169" t="s">
        <v>205</v>
      </c>
      <c r="C8" s="169"/>
      <c r="D8" s="169"/>
      <c r="E8" s="109">
        <f>PNEC_Sediment_Surrounding</f>
        <v>0</v>
      </c>
      <c r="F8" s="3"/>
      <c r="G8" s="3"/>
      <c r="H8" s="3"/>
      <c r="I8" s="3"/>
      <c r="J8" s="3"/>
      <c r="K8" s="3"/>
    </row>
    <row r="9" spans="2:12" ht="13.5" thickBot="1" x14ac:dyDescent="0.25"/>
    <row r="10" spans="2:12" ht="15" x14ac:dyDescent="0.2">
      <c r="B10" s="172" t="s">
        <v>106</v>
      </c>
      <c r="C10" s="173"/>
      <c r="D10" s="173"/>
      <c r="E10" s="173"/>
      <c r="F10" s="173"/>
      <c r="G10" s="173"/>
      <c r="H10" s="173"/>
      <c r="I10" s="173"/>
      <c r="J10" s="173"/>
      <c r="K10" s="173"/>
    </row>
    <row r="11" spans="2:12" ht="99.95" customHeight="1" x14ac:dyDescent="0.2">
      <c r="B11" s="107" t="s">
        <v>10</v>
      </c>
      <c r="C11" s="107" t="s">
        <v>12</v>
      </c>
      <c r="D11" s="14" t="s">
        <v>74</v>
      </c>
      <c r="E11" s="14" t="s">
        <v>210</v>
      </c>
      <c r="F11" s="14" t="s">
        <v>75</v>
      </c>
      <c r="G11" s="14" t="s">
        <v>211</v>
      </c>
      <c r="H11" s="14" t="s">
        <v>206</v>
      </c>
      <c r="I11" s="14" t="s">
        <v>207</v>
      </c>
      <c r="J11" s="14" t="s">
        <v>208</v>
      </c>
      <c r="K11" s="14" t="s">
        <v>209</v>
      </c>
    </row>
    <row r="12" spans="2:12" ht="14.25" x14ac:dyDescent="0.2">
      <c r="B12" s="110" t="s">
        <v>174</v>
      </c>
      <c r="C12" s="101" t="str">
        <f>Compound_Name</f>
        <v>Tolylfluanid</v>
      </c>
      <c r="D12" s="57" t="e">
        <f>'Regulatory_ Marinas_Calc'!I21</f>
        <v>#DIV/0!</v>
      </c>
      <c r="E12" s="57" t="e">
        <f>'Regulatory_ Marinas_Calc'!J21</f>
        <v>#DIV/0!</v>
      </c>
      <c r="F12" s="57" t="e">
        <f>'Regulatory_ Marinas_Calc'!K21</f>
        <v>#DIV/0!</v>
      </c>
      <c r="G12" s="57" t="e">
        <f>'Regulatory_ Marinas_Calc'!L21</f>
        <v>#DIV/0!</v>
      </c>
      <c r="H12" s="113" t="e">
        <f>'Regulatory_ Marinas_Calc'!Q21</f>
        <v>#DIV/0!</v>
      </c>
      <c r="I12" s="113" t="e">
        <f>'Regulatory_ Marinas_Calc'!R21</f>
        <v>#DIV/0!</v>
      </c>
      <c r="J12" s="113" t="e">
        <f>'Regulatory_ Marinas_Calc'!S21</f>
        <v>#DIV/0!</v>
      </c>
      <c r="K12" s="113" t="e">
        <f>'Regulatory_ Marinas_Calc'!T21</f>
        <v>#DIV/0!</v>
      </c>
    </row>
    <row r="13" spans="2:12" ht="14.25" x14ac:dyDescent="0.2">
      <c r="B13" s="110" t="s">
        <v>175</v>
      </c>
      <c r="C13" s="101" t="str">
        <f>Compound_Name</f>
        <v>Tolylfluanid</v>
      </c>
      <c r="D13" s="57" t="e">
        <f>'Regulatory_ Marinas_Calc'!I22</f>
        <v>#DIV/0!</v>
      </c>
      <c r="E13" s="57" t="e">
        <f>'Regulatory_ Marinas_Calc'!J22</f>
        <v>#DIV/0!</v>
      </c>
      <c r="F13" s="57" t="e">
        <f>'Regulatory_ Marinas_Calc'!K22</f>
        <v>#DIV/0!</v>
      </c>
      <c r="G13" s="57" t="e">
        <f>'Regulatory_ Marinas_Calc'!L22</f>
        <v>#DIV/0!</v>
      </c>
      <c r="H13" s="113" t="e">
        <f>'Regulatory_ Marinas_Calc'!Q22</f>
        <v>#DIV/0!</v>
      </c>
      <c r="I13" s="113" t="e">
        <f>'Regulatory_ Marinas_Calc'!R22</f>
        <v>#DIV/0!</v>
      </c>
      <c r="J13" s="113" t="e">
        <f>'Regulatory_ Marinas_Calc'!S22</f>
        <v>#DIV/0!</v>
      </c>
      <c r="K13" s="113" t="e">
        <f>'Regulatory_ Marinas_Calc'!T22</f>
        <v>#DIV/0!</v>
      </c>
    </row>
  </sheetData>
  <mergeCells count="7">
    <mergeCell ref="B2:L2"/>
    <mergeCell ref="B10:K10"/>
    <mergeCell ref="B4:E4"/>
    <mergeCell ref="B5:D5"/>
    <mergeCell ref="B6:D6"/>
    <mergeCell ref="B7:D7"/>
    <mergeCell ref="B8:D8"/>
  </mergeCells>
  <conditionalFormatting sqref="H12:K13">
    <cfRule type="cellIs" dxfId="2" priority="1" operator="lessThan">
      <formula>1</formula>
    </cfRule>
    <cfRule type="cellIs" dxfId="1" priority="2" operator="greaterThan">
      <formula>1</formula>
    </cfRule>
    <cfRule type="cellIs" dxfId="0"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74" t="s">
        <v>105</v>
      </c>
      <c r="C2" s="174"/>
      <c r="D2" s="174"/>
      <c r="E2" s="174"/>
      <c r="F2" s="174"/>
      <c r="G2" s="174"/>
      <c r="H2" s="174"/>
      <c r="I2" s="174"/>
      <c r="J2" s="174"/>
      <c r="K2" s="174"/>
      <c r="L2" s="174"/>
      <c r="M2" s="174"/>
    </row>
    <row r="3" spans="2:13" ht="13.5" thickTop="1" x14ac:dyDescent="0.2">
      <c r="B3" s="128" t="str">
        <f>Tooltype</f>
        <v>Freshwater calculator tool</v>
      </c>
    </row>
    <row r="4" spans="2:13" ht="18" thickBot="1" x14ac:dyDescent="0.35">
      <c r="B4" s="11" t="s">
        <v>0</v>
      </c>
    </row>
    <row r="5" spans="2:13" ht="13.5" thickTop="1" x14ac:dyDescent="0.2"/>
    <row r="6" spans="2:13" x14ac:dyDescent="0.2">
      <c r="B6" s="3" t="s">
        <v>1</v>
      </c>
      <c r="C6" s="60" t="s">
        <v>228</v>
      </c>
    </row>
    <row r="9" spans="2:13" x14ac:dyDescent="0.2">
      <c r="B9" s="49"/>
    </row>
    <row r="12" spans="2:13" x14ac:dyDescent="0.2">
      <c r="D12" s="7"/>
    </row>
    <row r="14" spans="2:13" ht="15" x14ac:dyDescent="0.2">
      <c r="B14" s="8"/>
    </row>
    <row r="16" spans="2:13" x14ac:dyDescent="0.2">
      <c r="D16" s="7"/>
    </row>
    <row r="18" spans="2:2" ht="15" x14ac:dyDescent="0.2">
      <c r="B18" s="8"/>
    </row>
    <row r="19" spans="2:2" ht="15" x14ac:dyDescent="0.2">
      <c r="B19" s="8"/>
    </row>
    <row r="20" spans="2:2" ht="15" x14ac:dyDescent="0.2">
      <c r="B20" s="8"/>
    </row>
    <row r="21" spans="2:2" ht="15" x14ac:dyDescent="0.2">
      <c r="B21" s="8"/>
    </row>
    <row r="27" spans="2:2" ht="15" x14ac:dyDescent="0.2">
      <c r="B27" s="8"/>
    </row>
    <row r="33" spans="2:4" ht="15" x14ac:dyDescent="0.2">
      <c r="B33" s="8"/>
    </row>
    <row r="34" spans="2:4" x14ac:dyDescent="0.2">
      <c r="B34" s="9"/>
    </row>
    <row r="35" spans="2:4" x14ac:dyDescent="0.2">
      <c r="B35" s="9"/>
    </row>
    <row r="36" spans="2:4" x14ac:dyDescent="0.2">
      <c r="B36" s="9"/>
      <c r="D36" s="7"/>
    </row>
    <row r="38" spans="2:4" ht="15" x14ac:dyDescent="0.2">
      <c r="B38" s="8"/>
    </row>
    <row r="39" spans="2:4" ht="15" x14ac:dyDescent="0.2">
      <c r="D39" s="10"/>
    </row>
  </sheetData>
  <mergeCells count="1">
    <mergeCell ref="B2: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2:V74"/>
  <sheetViews>
    <sheetView zoomScale="90" zoomScaleNormal="90" workbookViewId="0"/>
  </sheetViews>
  <sheetFormatPr defaultRowHeight="12.75" x14ac:dyDescent="0.2"/>
  <cols>
    <col min="1" max="1" width="9" style="3"/>
    <col min="2" max="2" width="22.625" style="3" customWidth="1"/>
    <col min="3" max="3" width="3.875" style="3" bestFit="1" customWidth="1"/>
    <col min="4" max="4" width="6.375" style="3"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thickBot="1" x14ac:dyDescent="0.35">
      <c r="B2" s="174" t="s">
        <v>9</v>
      </c>
      <c r="C2" s="174"/>
      <c r="D2" s="174"/>
      <c r="E2" s="174"/>
      <c r="F2" s="174"/>
      <c r="G2" s="174"/>
      <c r="H2" s="174"/>
      <c r="I2" s="174"/>
      <c r="J2" s="174"/>
      <c r="K2" s="174"/>
      <c r="L2" s="174"/>
      <c r="M2" s="174"/>
      <c r="N2" s="174"/>
      <c r="O2" s="174"/>
      <c r="P2" s="174"/>
      <c r="Q2" s="174"/>
      <c r="R2" s="174"/>
    </row>
    <row r="3" spans="2:18" ht="15" customHeight="1" thickTop="1" x14ac:dyDescent="0.2">
      <c r="B3" s="171" t="str">
        <f>Tooltype</f>
        <v>Freshwater calculator tool</v>
      </c>
      <c r="C3" s="171"/>
      <c r="D3" s="171"/>
    </row>
    <row r="4" spans="2:18" ht="15" customHeight="1" thickBot="1" x14ac:dyDescent="0.35">
      <c r="B4" s="176" t="s">
        <v>50</v>
      </c>
      <c r="C4" s="176"/>
      <c r="D4" s="176"/>
      <c r="E4" s="176"/>
      <c r="F4" s="176"/>
      <c r="G4" s="176"/>
      <c r="H4" s="176"/>
      <c r="K4" s="176" t="s">
        <v>242</v>
      </c>
      <c r="L4" s="176"/>
      <c r="M4" s="176"/>
      <c r="N4" s="176"/>
      <c r="O4" s="176"/>
      <c r="P4" s="176"/>
      <c r="Q4" s="176"/>
    </row>
    <row r="5" spans="2:18" ht="15" customHeight="1" thickTop="1" x14ac:dyDescent="0.2"/>
    <row r="6" spans="2:18" ht="15" customHeight="1" x14ac:dyDescent="0.2">
      <c r="B6" s="3" t="s">
        <v>70</v>
      </c>
      <c r="G6" s="56">
        <v>2.5</v>
      </c>
      <c r="H6" s="29" t="s">
        <v>168</v>
      </c>
      <c r="K6" s="3" t="s">
        <v>244</v>
      </c>
      <c r="P6" s="60">
        <v>30.7</v>
      </c>
      <c r="Q6" s="3" t="s">
        <v>222</v>
      </c>
    </row>
    <row r="7" spans="2:18" ht="15" customHeight="1" x14ac:dyDescent="0.2">
      <c r="B7" s="3" t="s">
        <v>55</v>
      </c>
      <c r="G7" s="3">
        <f>Average_biocide_release_over_the_lifetime_of_the_paint_M</f>
        <v>0</v>
      </c>
      <c r="H7" s="29" t="s">
        <v>168</v>
      </c>
      <c r="K7" s="7" t="s">
        <v>243</v>
      </c>
      <c r="P7" s="138">
        <v>22</v>
      </c>
      <c r="Q7" s="3" t="s">
        <v>222</v>
      </c>
    </row>
    <row r="8" spans="2:18" ht="15" customHeight="1" x14ac:dyDescent="0.2">
      <c r="B8" s="3" t="s">
        <v>56</v>
      </c>
      <c r="G8" s="38" t="e">
        <f>Average_biocide_release_over_the_lifetime_of_the_paint_C</f>
        <v>#DIV/0!</v>
      </c>
      <c r="H8" s="29" t="s">
        <v>168</v>
      </c>
      <c r="K8" s="3" t="s">
        <v>51</v>
      </c>
      <c r="P8" s="38">
        <f>WSA_freshwater/WSA_OECD_default</f>
        <v>0.71661237785016285</v>
      </c>
      <c r="Q8" s="115" t="s">
        <v>2</v>
      </c>
    </row>
    <row r="9" spans="2:18" ht="15" customHeight="1" x14ac:dyDescent="0.2">
      <c r="B9" s="3" t="s">
        <v>54</v>
      </c>
      <c r="G9" s="42">
        <f>IF(ISBLANK(Average_biocide_release_over_the_lifetime_of_the_paint_M),1,0)</f>
        <v>1</v>
      </c>
      <c r="H9" s="29"/>
    </row>
    <row r="10" spans="2:18" ht="15" customHeight="1" x14ac:dyDescent="0.2">
      <c r="B10" s="3" t="s">
        <v>53</v>
      </c>
      <c r="G10" s="38" t="e">
        <f>IF((G9&lt;1),Average_biocide_release_over_the_lifetime_of_the_paint_M,Average_biocide_release_over_the_lifetime_of_the_paint_C)</f>
        <v>#DIV/0!</v>
      </c>
      <c r="H10" s="29" t="s">
        <v>168</v>
      </c>
    </row>
    <row r="11" spans="2:18" ht="15" customHeight="1" x14ac:dyDescent="0.2">
      <c r="B11" s="3" t="s">
        <v>51</v>
      </c>
      <c r="G11" s="38" t="e">
        <f>G10/G6</f>
        <v>#DIV/0!</v>
      </c>
      <c r="H11" s="3" t="s">
        <v>2</v>
      </c>
    </row>
    <row r="12" spans="2:18" ht="15" customHeight="1" x14ac:dyDescent="0.2">
      <c r="G12" s="38"/>
    </row>
    <row r="13" spans="2:18" ht="15" customHeight="1" thickBot="1" x14ac:dyDescent="0.35">
      <c r="B13" s="176" t="s">
        <v>69</v>
      </c>
      <c r="C13" s="176"/>
      <c r="D13" s="176"/>
      <c r="E13" s="176"/>
      <c r="F13" s="176"/>
      <c r="G13" s="176"/>
      <c r="H13" s="176"/>
    </row>
    <row r="14" spans="2:18" ht="15" customHeight="1" thickTop="1" x14ac:dyDescent="0.2"/>
    <row r="15" spans="2:18" ht="15" customHeight="1" x14ac:dyDescent="0.2">
      <c r="B15" s="3" t="s">
        <v>76</v>
      </c>
      <c r="G15" s="139">
        <v>0.9</v>
      </c>
    </row>
    <row r="16" spans="2:18" ht="15" customHeight="1" x14ac:dyDescent="0.2">
      <c r="B16" s="3" t="s">
        <v>71</v>
      </c>
      <c r="G16" s="38">
        <f>Application_Factor</f>
        <v>0.9</v>
      </c>
    </row>
    <row r="17" spans="2:22" ht="15" customHeight="1" x14ac:dyDescent="0.2">
      <c r="B17" s="3" t="s">
        <v>51</v>
      </c>
      <c r="G17" s="38">
        <f>G16/G15</f>
        <v>1</v>
      </c>
      <c r="H17" s="53"/>
    </row>
    <row r="18" spans="2:22" ht="15" customHeight="1" x14ac:dyDescent="0.2"/>
    <row r="19" spans="2:22" ht="15" x14ac:dyDescent="0.2">
      <c r="B19" s="170" t="s">
        <v>85</v>
      </c>
      <c r="C19" s="170"/>
      <c r="D19" s="170"/>
      <c r="E19" s="170"/>
      <c r="F19" s="170"/>
      <c r="G19" s="170"/>
      <c r="H19" s="170"/>
      <c r="I19" s="170"/>
      <c r="J19" s="170"/>
      <c r="K19" s="170"/>
      <c r="L19" s="170"/>
      <c r="M19" s="170"/>
      <c r="N19" s="170"/>
      <c r="O19" s="170"/>
      <c r="P19" s="170"/>
      <c r="Q19" s="170"/>
      <c r="R19" s="170"/>
      <c r="S19" s="170"/>
      <c r="T19" s="170"/>
      <c r="U19" s="170"/>
      <c r="V19" s="170"/>
    </row>
    <row r="20" spans="2:22" ht="95.1" customHeight="1" x14ac:dyDescent="0.2">
      <c r="B20" s="97" t="s">
        <v>10</v>
      </c>
      <c r="C20" s="98" t="s">
        <v>189</v>
      </c>
      <c r="D20" s="98" t="s">
        <v>188</v>
      </c>
      <c r="E20" s="97" t="s">
        <v>12</v>
      </c>
      <c r="F20" s="13" t="s">
        <v>77</v>
      </c>
      <c r="G20" s="14" t="s">
        <v>223</v>
      </c>
      <c r="H20" s="14" t="s">
        <v>224</v>
      </c>
      <c r="I20" s="14" t="s">
        <v>190</v>
      </c>
      <c r="J20" s="14" t="s">
        <v>225</v>
      </c>
      <c r="K20" s="14" t="s">
        <v>178</v>
      </c>
      <c r="L20" s="14" t="s">
        <v>226</v>
      </c>
      <c r="M20" s="14" t="s">
        <v>179</v>
      </c>
      <c r="N20" s="14" t="s">
        <v>227</v>
      </c>
      <c r="O20" s="13" t="s">
        <v>183</v>
      </c>
      <c r="P20" s="13" t="s">
        <v>182</v>
      </c>
      <c r="Q20" s="13" t="s">
        <v>181</v>
      </c>
      <c r="R20" s="13" t="s">
        <v>191</v>
      </c>
      <c r="S20" s="13" t="s">
        <v>61</v>
      </c>
      <c r="T20" s="13" t="s">
        <v>62</v>
      </c>
      <c r="U20" s="13" t="s">
        <v>63</v>
      </c>
      <c r="V20" s="13" t="s">
        <v>64</v>
      </c>
    </row>
    <row r="21" spans="2:22" ht="14.25" customHeight="1" x14ac:dyDescent="0.2">
      <c r="B21" s="101" t="s">
        <v>108</v>
      </c>
      <c r="C21" s="12" t="s">
        <v>109</v>
      </c>
      <c r="D21" s="12">
        <v>1</v>
      </c>
      <c r="E21" s="101" t="str">
        <f t="shared" ref="E21:E66" si="0">Compound_Name</f>
        <v>Tolylfluanid</v>
      </c>
      <c r="F21" s="59">
        <v>220</v>
      </c>
      <c r="G21" s="105">
        <v>2.2736758065223701</v>
      </c>
      <c r="H21" s="105">
        <v>4.84773819893599E-2</v>
      </c>
      <c r="I21" s="105">
        <v>3.5280182870944099E-4</v>
      </c>
      <c r="J21" s="105">
        <v>7.5221405501224601E-6</v>
      </c>
      <c r="K21" s="57" t="e">
        <f t="shared" ref="K21:K66" si="1">((($F21/100)*$G21)*Leaching_Conversion_Factor*Application_Conversion_Factor*WSA_ConversionFactor)+Background_SW_Freshwater</f>
        <v>#DIV/0!</v>
      </c>
      <c r="L21" s="57" t="e">
        <f t="shared" ref="L21:L66" si="2">((($F21/100)*$H21)*Leaching_Conversion_Factor*Application_Conversion_Factor*WSA_ConversionFactor)+Background_Sed_Freshwater</f>
        <v>#DIV/0!</v>
      </c>
      <c r="M21" s="57" t="e">
        <f t="shared" ref="M21:M66" si="3">((($F21/100)*$I21)*Leaching_Conversion_Factor*Application_Conversion_Factor*WSA_ConversionFactor)+Background_SW_Freshwater</f>
        <v>#DIV/0!</v>
      </c>
      <c r="N21" s="57" t="e">
        <f t="shared" ref="N21:N66" si="4">((($F21/100)*$J21)*Leaching_Conversion_Factor*Application_Conversion_Factor*WSA_ConversionFactor)+Background_Sed_Freshwater</f>
        <v>#DIV/0!</v>
      </c>
      <c r="O21" s="177">
        <f>PNEC_Aquatic_Inside</f>
        <v>0.26500000000000001</v>
      </c>
      <c r="P21" s="177">
        <f>PNEC_Sediment_Inside</f>
        <v>0</v>
      </c>
      <c r="Q21" s="177">
        <f>PNEC_Aquatic_Surrounding</f>
        <v>0.26500000000000001</v>
      </c>
      <c r="R21" s="177">
        <f>PNEC_Sediment_Surrounding</f>
        <v>0</v>
      </c>
      <c r="S21" s="78" t="e">
        <f t="shared" ref="S21:S66" si="5">$K21/PNEC_Aquatic_Inside</f>
        <v>#DIV/0!</v>
      </c>
      <c r="T21" s="78" t="e">
        <f t="shared" ref="T21:T66" si="6">$L21/PNEC_Sediment_Inside</f>
        <v>#DIV/0!</v>
      </c>
      <c r="U21" s="78" t="e">
        <f t="shared" ref="U21:U66" si="7">$M21/PNEC_Aquatic_Surrounding</f>
        <v>#DIV/0!</v>
      </c>
      <c r="V21" s="78" t="e">
        <f t="shared" ref="V21:V66" si="8">$N21/PNEC_Sediment_Surrounding</f>
        <v>#DIV/0!</v>
      </c>
    </row>
    <row r="22" spans="2:22" ht="14.25" customHeight="1" x14ac:dyDescent="0.2">
      <c r="B22" s="101" t="s">
        <v>110</v>
      </c>
      <c r="C22" s="12" t="s">
        <v>109</v>
      </c>
      <c r="D22" s="12">
        <v>2</v>
      </c>
      <c r="E22" s="101" t="str">
        <f t="shared" si="0"/>
        <v>Tolylfluanid</v>
      </c>
      <c r="F22" s="59">
        <v>252</v>
      </c>
      <c r="G22" s="105">
        <v>2.2124811196327201</v>
      </c>
      <c r="H22" s="105">
        <v>4.7172640897333598E-2</v>
      </c>
      <c r="I22" s="105">
        <v>5.2641126630987797E-4</v>
      </c>
      <c r="J22" s="105">
        <v>1.1223693301474199E-5</v>
      </c>
      <c r="K22" s="57" t="e">
        <f t="shared" si="1"/>
        <v>#DIV/0!</v>
      </c>
      <c r="L22" s="57" t="e">
        <f t="shared" si="2"/>
        <v>#DIV/0!</v>
      </c>
      <c r="M22" s="57" t="e">
        <f t="shared" si="3"/>
        <v>#DIV/0!</v>
      </c>
      <c r="N22" s="57" t="e">
        <f t="shared" si="4"/>
        <v>#DIV/0!</v>
      </c>
      <c r="O22" s="177"/>
      <c r="P22" s="177"/>
      <c r="Q22" s="177"/>
      <c r="R22" s="177"/>
      <c r="S22" s="78" t="e">
        <f t="shared" si="5"/>
        <v>#DIV/0!</v>
      </c>
      <c r="T22" s="78" t="e">
        <f t="shared" si="6"/>
        <v>#DIV/0!</v>
      </c>
      <c r="U22" s="78" t="e">
        <f t="shared" si="7"/>
        <v>#DIV/0!</v>
      </c>
      <c r="V22" s="78" t="e">
        <f t="shared" si="8"/>
        <v>#DIV/0!</v>
      </c>
    </row>
    <row r="23" spans="2:22" ht="14.25" customHeight="1" x14ac:dyDescent="0.2">
      <c r="B23" s="101" t="s">
        <v>111</v>
      </c>
      <c r="C23" s="12" t="s">
        <v>109</v>
      </c>
      <c r="D23" s="12">
        <v>3</v>
      </c>
      <c r="E23" s="101" t="str">
        <f t="shared" si="0"/>
        <v>Tolylfluanid</v>
      </c>
      <c r="F23" s="59">
        <v>330</v>
      </c>
      <c r="G23" s="105">
        <v>2.06174132227898</v>
      </c>
      <c r="H23" s="105">
        <v>0.184626515731215</v>
      </c>
      <c r="I23" s="105">
        <v>1.3080630980099801E-3</v>
      </c>
      <c r="J23" s="105">
        <v>1.17135515079099E-4</v>
      </c>
      <c r="K23" s="57" t="e">
        <f t="shared" si="1"/>
        <v>#DIV/0!</v>
      </c>
      <c r="L23" s="57" t="e">
        <f t="shared" si="2"/>
        <v>#DIV/0!</v>
      </c>
      <c r="M23" s="57" t="e">
        <f t="shared" si="3"/>
        <v>#DIV/0!</v>
      </c>
      <c r="N23" s="57" t="e">
        <f t="shared" si="4"/>
        <v>#DIV/0!</v>
      </c>
      <c r="O23" s="177"/>
      <c r="P23" s="177"/>
      <c r="Q23" s="177"/>
      <c r="R23" s="177"/>
      <c r="S23" s="78" t="e">
        <f t="shared" si="5"/>
        <v>#DIV/0!</v>
      </c>
      <c r="T23" s="78" t="e">
        <f t="shared" si="6"/>
        <v>#DIV/0!</v>
      </c>
      <c r="U23" s="78" t="e">
        <f t="shared" si="7"/>
        <v>#DIV/0!</v>
      </c>
      <c r="V23" s="78" t="e">
        <f t="shared" si="8"/>
        <v>#DIV/0!</v>
      </c>
    </row>
    <row r="24" spans="2:22" ht="14.25" customHeight="1" x14ac:dyDescent="0.2">
      <c r="B24" s="101" t="s">
        <v>112</v>
      </c>
      <c r="C24" s="12" t="s">
        <v>109</v>
      </c>
      <c r="D24" s="12">
        <v>4</v>
      </c>
      <c r="E24" s="101" t="str">
        <f t="shared" si="0"/>
        <v>Tolylfluanid</v>
      </c>
      <c r="F24" s="59">
        <v>577</v>
      </c>
      <c r="G24" s="105">
        <v>1.1887475848197899</v>
      </c>
      <c r="H24" s="105">
        <v>0.106450950652361</v>
      </c>
      <c r="I24" s="105">
        <v>6.4948483514247804E-4</v>
      </c>
      <c r="J24" s="105">
        <v>5.8160604828572099E-5</v>
      </c>
      <c r="K24" s="57" t="e">
        <f t="shared" si="1"/>
        <v>#DIV/0!</v>
      </c>
      <c r="L24" s="57" t="e">
        <f t="shared" si="2"/>
        <v>#DIV/0!</v>
      </c>
      <c r="M24" s="57" t="e">
        <f t="shared" si="3"/>
        <v>#DIV/0!</v>
      </c>
      <c r="N24" s="57" t="e">
        <f t="shared" si="4"/>
        <v>#DIV/0!</v>
      </c>
      <c r="O24" s="177"/>
      <c r="P24" s="177"/>
      <c r="Q24" s="177"/>
      <c r="R24" s="177"/>
      <c r="S24" s="78" t="e">
        <f t="shared" si="5"/>
        <v>#DIV/0!</v>
      </c>
      <c r="T24" s="78" t="e">
        <f t="shared" si="6"/>
        <v>#DIV/0!</v>
      </c>
      <c r="U24" s="78" t="e">
        <f t="shared" si="7"/>
        <v>#DIV/0!</v>
      </c>
      <c r="V24" s="78" t="e">
        <f t="shared" si="8"/>
        <v>#DIV/0!</v>
      </c>
    </row>
    <row r="25" spans="2:22" ht="14.25" customHeight="1" x14ac:dyDescent="0.2">
      <c r="B25" s="101" t="s">
        <v>113</v>
      </c>
      <c r="C25" s="12" t="s">
        <v>109</v>
      </c>
      <c r="D25" s="12">
        <v>5</v>
      </c>
      <c r="E25" s="101" t="str">
        <f t="shared" si="0"/>
        <v>Tolylfluanid</v>
      </c>
      <c r="F25" s="59">
        <v>100</v>
      </c>
      <c r="G25" s="105">
        <v>5.1589417624473599</v>
      </c>
      <c r="H25" s="105">
        <v>0.18728805407881699</v>
      </c>
      <c r="I25" s="105">
        <v>4.3203157632173999E-4</v>
      </c>
      <c r="J25" s="105">
        <v>1.5684292772922999E-5</v>
      </c>
      <c r="K25" s="57" t="e">
        <f t="shared" si="1"/>
        <v>#DIV/0!</v>
      </c>
      <c r="L25" s="57" t="e">
        <f t="shared" si="2"/>
        <v>#DIV/0!</v>
      </c>
      <c r="M25" s="57" t="e">
        <f t="shared" si="3"/>
        <v>#DIV/0!</v>
      </c>
      <c r="N25" s="57" t="e">
        <f t="shared" si="4"/>
        <v>#DIV/0!</v>
      </c>
      <c r="O25" s="177"/>
      <c r="P25" s="177"/>
      <c r="Q25" s="177"/>
      <c r="R25" s="177"/>
      <c r="S25" s="78" t="e">
        <f t="shared" si="5"/>
        <v>#DIV/0!</v>
      </c>
      <c r="T25" s="78" t="e">
        <f t="shared" si="6"/>
        <v>#DIV/0!</v>
      </c>
      <c r="U25" s="78" t="e">
        <f t="shared" si="7"/>
        <v>#DIV/0!</v>
      </c>
      <c r="V25" s="78" t="e">
        <f t="shared" si="8"/>
        <v>#DIV/0!</v>
      </c>
    </row>
    <row r="26" spans="2:22" ht="14.25" customHeight="1" x14ac:dyDescent="0.2">
      <c r="B26" s="101" t="s">
        <v>114</v>
      </c>
      <c r="C26" s="12" t="s">
        <v>109</v>
      </c>
      <c r="D26" s="12">
        <v>6</v>
      </c>
      <c r="E26" s="101" t="str">
        <f t="shared" si="0"/>
        <v>Tolylfluanid</v>
      </c>
      <c r="F26" s="59">
        <v>260</v>
      </c>
      <c r="G26" s="105">
        <v>1.4273180115222901</v>
      </c>
      <c r="H26" s="105">
        <v>5.18167535215616E-2</v>
      </c>
      <c r="I26" s="105">
        <v>7.76741943602304E-5</v>
      </c>
      <c r="J26" s="105">
        <v>2.81985131978997E-6</v>
      </c>
      <c r="K26" s="57" t="e">
        <f t="shared" si="1"/>
        <v>#DIV/0!</v>
      </c>
      <c r="L26" s="57" t="e">
        <f t="shared" si="2"/>
        <v>#DIV/0!</v>
      </c>
      <c r="M26" s="57" t="e">
        <f t="shared" si="3"/>
        <v>#DIV/0!</v>
      </c>
      <c r="N26" s="57" t="e">
        <f t="shared" si="4"/>
        <v>#DIV/0!</v>
      </c>
      <c r="O26" s="177"/>
      <c r="P26" s="177"/>
      <c r="Q26" s="177"/>
      <c r="R26" s="177"/>
      <c r="S26" s="78" t="e">
        <f t="shared" si="5"/>
        <v>#DIV/0!</v>
      </c>
      <c r="T26" s="78" t="e">
        <f t="shared" si="6"/>
        <v>#DIV/0!</v>
      </c>
      <c r="U26" s="78" t="e">
        <f t="shared" si="7"/>
        <v>#DIV/0!</v>
      </c>
      <c r="V26" s="78" t="e">
        <f t="shared" si="8"/>
        <v>#DIV/0!</v>
      </c>
    </row>
    <row r="27" spans="2:22" ht="14.25" customHeight="1" x14ac:dyDescent="0.2">
      <c r="B27" s="101" t="s">
        <v>115</v>
      </c>
      <c r="C27" s="12" t="s">
        <v>109</v>
      </c>
      <c r="D27" s="12">
        <v>7</v>
      </c>
      <c r="E27" s="101" t="str">
        <f t="shared" si="0"/>
        <v>Tolylfluanid</v>
      </c>
      <c r="F27" s="59">
        <v>168</v>
      </c>
      <c r="G27" s="105">
        <v>2.5069785857200602</v>
      </c>
      <c r="H27" s="105">
        <v>9.1012297272682202E-2</v>
      </c>
      <c r="I27" s="105">
        <v>6.6992498896070198E-4</v>
      </c>
      <c r="J27" s="105">
        <v>2.4320675330026599E-5</v>
      </c>
      <c r="K27" s="57" t="e">
        <f t="shared" si="1"/>
        <v>#DIV/0!</v>
      </c>
      <c r="L27" s="57" t="e">
        <f t="shared" si="2"/>
        <v>#DIV/0!</v>
      </c>
      <c r="M27" s="57" t="e">
        <f t="shared" si="3"/>
        <v>#DIV/0!</v>
      </c>
      <c r="N27" s="57" t="e">
        <f t="shared" si="4"/>
        <v>#DIV/0!</v>
      </c>
      <c r="O27" s="177"/>
      <c r="P27" s="177"/>
      <c r="Q27" s="177"/>
      <c r="R27" s="177"/>
      <c r="S27" s="78" t="e">
        <f t="shared" si="5"/>
        <v>#DIV/0!</v>
      </c>
      <c r="T27" s="78" t="e">
        <f t="shared" si="6"/>
        <v>#DIV/0!</v>
      </c>
      <c r="U27" s="78" t="e">
        <f t="shared" si="7"/>
        <v>#DIV/0!</v>
      </c>
      <c r="V27" s="78" t="e">
        <f t="shared" si="8"/>
        <v>#DIV/0!</v>
      </c>
    </row>
    <row r="28" spans="2:22" ht="14.25" customHeight="1" x14ac:dyDescent="0.2">
      <c r="B28" s="101" t="s">
        <v>116</v>
      </c>
      <c r="C28" s="12" t="s">
        <v>117</v>
      </c>
      <c r="D28" s="12">
        <v>2</v>
      </c>
      <c r="E28" s="101" t="str">
        <f t="shared" si="0"/>
        <v>Tolylfluanid</v>
      </c>
      <c r="F28" s="59">
        <v>235</v>
      </c>
      <c r="G28" s="105">
        <v>0.54521785736084005</v>
      </c>
      <c r="H28" s="105">
        <v>0.57542126536369298</v>
      </c>
      <c r="I28" s="105">
        <v>9.0708122215706501E-6</v>
      </c>
      <c r="J28" s="105">
        <v>9.5733072021886308E-6</v>
      </c>
      <c r="K28" s="57" t="e">
        <f t="shared" si="1"/>
        <v>#DIV/0!</v>
      </c>
      <c r="L28" s="57" t="e">
        <f t="shared" si="2"/>
        <v>#DIV/0!</v>
      </c>
      <c r="M28" s="57" t="e">
        <f t="shared" si="3"/>
        <v>#DIV/0!</v>
      </c>
      <c r="N28" s="57" t="e">
        <f t="shared" si="4"/>
        <v>#DIV/0!</v>
      </c>
      <c r="O28" s="177"/>
      <c r="P28" s="177"/>
      <c r="Q28" s="177"/>
      <c r="R28" s="177"/>
      <c r="S28" s="78" t="e">
        <f t="shared" si="5"/>
        <v>#DIV/0!</v>
      </c>
      <c r="T28" s="78" t="e">
        <f t="shared" si="6"/>
        <v>#DIV/0!</v>
      </c>
      <c r="U28" s="78" t="e">
        <f t="shared" si="7"/>
        <v>#DIV/0!</v>
      </c>
      <c r="V28" s="78" t="e">
        <f t="shared" si="8"/>
        <v>#DIV/0!</v>
      </c>
    </row>
    <row r="29" spans="2:22" ht="14.25" customHeight="1" x14ac:dyDescent="0.2">
      <c r="B29" s="101" t="s">
        <v>118</v>
      </c>
      <c r="C29" s="12" t="s">
        <v>117</v>
      </c>
      <c r="D29" s="12">
        <v>3</v>
      </c>
      <c r="E29" s="101" t="str">
        <f t="shared" si="0"/>
        <v>Tolylfluanid</v>
      </c>
      <c r="F29" s="59">
        <v>175</v>
      </c>
      <c r="G29" s="105">
        <v>1.2877704989910099</v>
      </c>
      <c r="H29" s="105">
        <v>1.35910900354385</v>
      </c>
      <c r="I29" s="105">
        <v>4.0702501892155803E-5</v>
      </c>
      <c r="J29" s="105">
        <v>4.2957294791582003E-5</v>
      </c>
      <c r="K29" s="57" t="e">
        <f t="shared" si="1"/>
        <v>#DIV/0!</v>
      </c>
      <c r="L29" s="57" t="e">
        <f t="shared" si="2"/>
        <v>#DIV/0!</v>
      </c>
      <c r="M29" s="57" t="e">
        <f t="shared" si="3"/>
        <v>#DIV/0!</v>
      </c>
      <c r="N29" s="57" t="e">
        <f t="shared" si="4"/>
        <v>#DIV/0!</v>
      </c>
      <c r="O29" s="177"/>
      <c r="P29" s="177"/>
      <c r="Q29" s="177"/>
      <c r="R29" s="177"/>
      <c r="S29" s="78" t="e">
        <f t="shared" si="5"/>
        <v>#DIV/0!</v>
      </c>
      <c r="T29" s="78" t="e">
        <f t="shared" si="6"/>
        <v>#DIV/0!</v>
      </c>
      <c r="U29" s="78" t="e">
        <f t="shared" si="7"/>
        <v>#DIV/0!</v>
      </c>
      <c r="V29" s="78" t="e">
        <f t="shared" si="8"/>
        <v>#DIV/0!</v>
      </c>
    </row>
    <row r="30" spans="2:22" ht="14.25" customHeight="1" x14ac:dyDescent="0.2">
      <c r="B30" s="101" t="s">
        <v>119</v>
      </c>
      <c r="C30" s="12" t="s">
        <v>117</v>
      </c>
      <c r="D30" s="12">
        <v>5</v>
      </c>
      <c r="E30" s="101" t="str">
        <f t="shared" si="0"/>
        <v>Tolylfluanid</v>
      </c>
      <c r="F30" s="59">
        <v>68</v>
      </c>
      <c r="G30" s="105">
        <v>2.03263953924179</v>
      </c>
      <c r="H30" s="105">
        <v>2.1452414584159798</v>
      </c>
      <c r="I30" s="105">
        <v>5.5602531873167498E-5</v>
      </c>
      <c r="J30" s="105">
        <v>5.8682740696743501E-5</v>
      </c>
      <c r="K30" s="57" t="e">
        <f t="shared" si="1"/>
        <v>#DIV/0!</v>
      </c>
      <c r="L30" s="57" t="e">
        <f t="shared" si="2"/>
        <v>#DIV/0!</v>
      </c>
      <c r="M30" s="57" t="e">
        <f t="shared" si="3"/>
        <v>#DIV/0!</v>
      </c>
      <c r="N30" s="57" t="e">
        <f t="shared" si="4"/>
        <v>#DIV/0!</v>
      </c>
      <c r="O30" s="177"/>
      <c r="P30" s="177"/>
      <c r="Q30" s="177"/>
      <c r="R30" s="177"/>
      <c r="S30" s="78" t="e">
        <f t="shared" si="5"/>
        <v>#DIV/0!</v>
      </c>
      <c r="T30" s="78" t="e">
        <f t="shared" si="6"/>
        <v>#DIV/0!</v>
      </c>
      <c r="U30" s="78" t="e">
        <f t="shared" si="7"/>
        <v>#DIV/0!</v>
      </c>
      <c r="V30" s="78" t="e">
        <f t="shared" si="8"/>
        <v>#DIV/0!</v>
      </c>
    </row>
    <row r="31" spans="2:22" ht="14.25" customHeight="1" x14ac:dyDescent="0.2">
      <c r="B31" s="101" t="s">
        <v>120</v>
      </c>
      <c r="C31" s="12" t="s">
        <v>117</v>
      </c>
      <c r="D31" s="12">
        <v>6</v>
      </c>
      <c r="E31" s="101" t="str">
        <f t="shared" si="0"/>
        <v>Tolylfluanid</v>
      </c>
      <c r="F31" s="59">
        <v>137</v>
      </c>
      <c r="G31" s="105">
        <v>1.2024306905269599</v>
      </c>
      <c r="H31" s="105">
        <v>1.26904164254665</v>
      </c>
      <c r="I31" s="105">
        <v>2.16280373910204E-4</v>
      </c>
      <c r="J31" s="105">
        <v>2.28261640900484E-4</v>
      </c>
      <c r="K31" s="57" t="e">
        <f t="shared" si="1"/>
        <v>#DIV/0!</v>
      </c>
      <c r="L31" s="57" t="e">
        <f t="shared" si="2"/>
        <v>#DIV/0!</v>
      </c>
      <c r="M31" s="57" t="e">
        <f t="shared" si="3"/>
        <v>#DIV/0!</v>
      </c>
      <c r="N31" s="57" t="e">
        <f t="shared" si="4"/>
        <v>#DIV/0!</v>
      </c>
      <c r="O31" s="177"/>
      <c r="P31" s="177"/>
      <c r="Q31" s="177"/>
      <c r="R31" s="177"/>
      <c r="S31" s="78" t="e">
        <f t="shared" si="5"/>
        <v>#DIV/0!</v>
      </c>
      <c r="T31" s="78" t="e">
        <f t="shared" si="6"/>
        <v>#DIV/0!</v>
      </c>
      <c r="U31" s="78" t="e">
        <f t="shared" si="7"/>
        <v>#DIV/0!</v>
      </c>
      <c r="V31" s="78" t="e">
        <f t="shared" si="8"/>
        <v>#DIV/0!</v>
      </c>
    </row>
    <row r="32" spans="2:22" ht="14.25" customHeight="1" x14ac:dyDescent="0.2">
      <c r="B32" s="101" t="s">
        <v>121</v>
      </c>
      <c r="C32" s="12" t="s">
        <v>117</v>
      </c>
      <c r="D32" s="12">
        <v>11</v>
      </c>
      <c r="E32" s="101" t="str">
        <f t="shared" si="0"/>
        <v>Tolylfluanid</v>
      </c>
      <c r="F32" s="59">
        <v>50</v>
      </c>
      <c r="G32" s="105">
        <v>14.7420758914948</v>
      </c>
      <c r="H32" s="105">
        <v>15.558741445541401</v>
      </c>
      <c r="I32" s="105">
        <v>1.96452926996547E-4</v>
      </c>
      <c r="J32" s="105">
        <v>2.0733581276696601E-4</v>
      </c>
      <c r="K32" s="57" t="e">
        <f t="shared" si="1"/>
        <v>#DIV/0!</v>
      </c>
      <c r="L32" s="57" t="e">
        <f t="shared" si="2"/>
        <v>#DIV/0!</v>
      </c>
      <c r="M32" s="57" t="e">
        <f t="shared" si="3"/>
        <v>#DIV/0!</v>
      </c>
      <c r="N32" s="57" t="e">
        <f t="shared" si="4"/>
        <v>#DIV/0!</v>
      </c>
      <c r="O32" s="177"/>
      <c r="P32" s="177"/>
      <c r="Q32" s="177"/>
      <c r="R32" s="177"/>
      <c r="S32" s="78" t="e">
        <f t="shared" si="5"/>
        <v>#DIV/0!</v>
      </c>
      <c r="T32" s="78" t="e">
        <f t="shared" si="6"/>
        <v>#DIV/0!</v>
      </c>
      <c r="U32" s="78" t="e">
        <f t="shared" si="7"/>
        <v>#DIV/0!</v>
      </c>
      <c r="V32" s="78" t="e">
        <f t="shared" si="8"/>
        <v>#DIV/0!</v>
      </c>
    </row>
    <row r="33" spans="2:22" ht="14.25" customHeight="1" x14ac:dyDescent="0.2">
      <c r="B33" s="101" t="s">
        <v>122</v>
      </c>
      <c r="C33" s="12" t="s">
        <v>117</v>
      </c>
      <c r="D33" s="12">
        <v>12</v>
      </c>
      <c r="E33" s="101" t="str">
        <f t="shared" si="0"/>
        <v>Tolylfluanid</v>
      </c>
      <c r="F33" s="59">
        <v>1000</v>
      </c>
      <c r="G33" s="105">
        <v>0.38380106776952699</v>
      </c>
      <c r="H33" s="105">
        <v>0.40506245970726001</v>
      </c>
      <c r="I33" s="105">
        <v>1.2787520983816101E-5</v>
      </c>
      <c r="J33" s="105">
        <v>1.3495910173446599E-5</v>
      </c>
      <c r="K33" s="57" t="e">
        <f t="shared" si="1"/>
        <v>#DIV/0!</v>
      </c>
      <c r="L33" s="57" t="e">
        <f t="shared" si="2"/>
        <v>#DIV/0!</v>
      </c>
      <c r="M33" s="57" t="e">
        <f t="shared" si="3"/>
        <v>#DIV/0!</v>
      </c>
      <c r="N33" s="57" t="e">
        <f t="shared" si="4"/>
        <v>#DIV/0!</v>
      </c>
      <c r="O33" s="177"/>
      <c r="P33" s="177"/>
      <c r="Q33" s="177"/>
      <c r="R33" s="177"/>
      <c r="S33" s="78" t="e">
        <f t="shared" si="5"/>
        <v>#DIV/0!</v>
      </c>
      <c r="T33" s="78" t="e">
        <f t="shared" si="6"/>
        <v>#DIV/0!</v>
      </c>
      <c r="U33" s="78" t="e">
        <f t="shared" si="7"/>
        <v>#DIV/0!</v>
      </c>
      <c r="V33" s="78" t="e">
        <f t="shared" si="8"/>
        <v>#DIV/0!</v>
      </c>
    </row>
    <row r="34" spans="2:22" ht="14.25" customHeight="1" x14ac:dyDescent="0.2">
      <c r="B34" s="101" t="s">
        <v>123</v>
      </c>
      <c r="C34" s="12" t="s">
        <v>13</v>
      </c>
      <c r="D34" s="12" t="s">
        <v>124</v>
      </c>
      <c r="E34" s="101" t="str">
        <f t="shared" si="0"/>
        <v>Tolylfluanid</v>
      </c>
      <c r="F34" s="59">
        <v>150</v>
      </c>
      <c r="G34" s="105">
        <v>0.99531142830848696</v>
      </c>
      <c r="H34" s="105">
        <v>0.31831775993108802</v>
      </c>
      <c r="I34" s="105">
        <v>4.0780914129451599E-4</v>
      </c>
      <c r="J34" s="105">
        <v>1.3042439615370901E-4</v>
      </c>
      <c r="K34" s="57" t="e">
        <f t="shared" si="1"/>
        <v>#DIV/0!</v>
      </c>
      <c r="L34" s="57" t="e">
        <f t="shared" si="2"/>
        <v>#DIV/0!</v>
      </c>
      <c r="M34" s="57" t="e">
        <f t="shared" si="3"/>
        <v>#DIV/0!</v>
      </c>
      <c r="N34" s="57" t="e">
        <f t="shared" si="4"/>
        <v>#DIV/0!</v>
      </c>
      <c r="O34" s="177"/>
      <c r="P34" s="177"/>
      <c r="Q34" s="177"/>
      <c r="R34" s="177"/>
      <c r="S34" s="78" t="e">
        <f t="shared" si="5"/>
        <v>#DIV/0!</v>
      </c>
      <c r="T34" s="78" t="e">
        <f t="shared" si="6"/>
        <v>#DIV/0!</v>
      </c>
      <c r="U34" s="78" t="e">
        <f t="shared" si="7"/>
        <v>#DIV/0!</v>
      </c>
      <c r="V34" s="78" t="e">
        <f t="shared" si="8"/>
        <v>#DIV/0!</v>
      </c>
    </row>
    <row r="35" spans="2:22" ht="14.25" customHeight="1" x14ac:dyDescent="0.2">
      <c r="B35" s="101" t="s">
        <v>125</v>
      </c>
      <c r="C35" s="12" t="s">
        <v>13</v>
      </c>
      <c r="D35" s="12" t="s">
        <v>126</v>
      </c>
      <c r="E35" s="101" t="str">
        <f t="shared" si="0"/>
        <v>Tolylfluanid</v>
      </c>
      <c r="F35" s="59">
        <v>147</v>
      </c>
      <c r="G35" s="105">
        <v>0.87570111393928496</v>
      </c>
      <c r="H35" s="105">
        <v>0.76713269248604798</v>
      </c>
      <c r="I35" s="105">
        <v>4.1767510200087801E-4</v>
      </c>
      <c r="J35" s="105">
        <v>3.6589222050452299E-4</v>
      </c>
      <c r="K35" s="57" t="e">
        <f t="shared" si="1"/>
        <v>#DIV/0!</v>
      </c>
      <c r="L35" s="57" t="e">
        <f t="shared" si="2"/>
        <v>#DIV/0!</v>
      </c>
      <c r="M35" s="57" t="e">
        <f t="shared" si="3"/>
        <v>#DIV/0!</v>
      </c>
      <c r="N35" s="57" t="e">
        <f t="shared" si="4"/>
        <v>#DIV/0!</v>
      </c>
      <c r="O35" s="177"/>
      <c r="P35" s="177"/>
      <c r="Q35" s="177"/>
      <c r="R35" s="177"/>
      <c r="S35" s="78" t="e">
        <f t="shared" si="5"/>
        <v>#DIV/0!</v>
      </c>
      <c r="T35" s="78" t="e">
        <f t="shared" si="6"/>
        <v>#DIV/0!</v>
      </c>
      <c r="U35" s="78" t="e">
        <f t="shared" si="7"/>
        <v>#DIV/0!</v>
      </c>
      <c r="V35" s="78" t="e">
        <f t="shared" si="8"/>
        <v>#DIV/0!</v>
      </c>
    </row>
    <row r="36" spans="2:22" ht="14.25" customHeight="1" x14ac:dyDescent="0.2">
      <c r="B36" s="101" t="s">
        <v>127</v>
      </c>
      <c r="C36" s="12" t="s">
        <v>13</v>
      </c>
      <c r="D36" s="12" t="s">
        <v>128</v>
      </c>
      <c r="E36" s="101" t="str">
        <f t="shared" si="0"/>
        <v>Tolylfluanid</v>
      </c>
      <c r="F36" s="59">
        <v>379</v>
      </c>
      <c r="G36" s="105">
        <v>0.33445502102375002</v>
      </c>
      <c r="H36" s="105">
        <v>1.8955731000751298E-2</v>
      </c>
      <c r="I36" s="105">
        <v>1.3295155080280999E-4</v>
      </c>
      <c r="J36" s="105">
        <v>7.5352250426282302E-6</v>
      </c>
      <c r="K36" s="57" t="e">
        <f t="shared" si="1"/>
        <v>#DIV/0!</v>
      </c>
      <c r="L36" s="57" t="e">
        <f t="shared" si="2"/>
        <v>#DIV/0!</v>
      </c>
      <c r="M36" s="57" t="e">
        <f t="shared" si="3"/>
        <v>#DIV/0!</v>
      </c>
      <c r="N36" s="57" t="e">
        <f t="shared" si="4"/>
        <v>#DIV/0!</v>
      </c>
      <c r="O36" s="177"/>
      <c r="P36" s="177"/>
      <c r="Q36" s="177"/>
      <c r="R36" s="177"/>
      <c r="S36" s="78" t="e">
        <f t="shared" si="5"/>
        <v>#DIV/0!</v>
      </c>
      <c r="T36" s="78" t="e">
        <f t="shared" si="6"/>
        <v>#DIV/0!</v>
      </c>
      <c r="U36" s="78" t="e">
        <f t="shared" si="7"/>
        <v>#DIV/0!</v>
      </c>
      <c r="V36" s="78" t="e">
        <f t="shared" si="8"/>
        <v>#DIV/0!</v>
      </c>
    </row>
    <row r="37" spans="2:22" ht="14.25" customHeight="1" x14ac:dyDescent="0.2">
      <c r="B37" s="101" t="s">
        <v>129</v>
      </c>
      <c r="C37" s="12" t="s">
        <v>13</v>
      </c>
      <c r="D37" s="12" t="s">
        <v>130</v>
      </c>
      <c r="E37" s="101" t="str">
        <f t="shared" si="0"/>
        <v>Tolylfluanid</v>
      </c>
      <c r="F37" s="59">
        <v>1550</v>
      </c>
      <c r="G37" s="105">
        <v>2.5145676694810399E-2</v>
      </c>
      <c r="H37" s="105">
        <v>5.6294145844876797E-2</v>
      </c>
      <c r="I37" s="105">
        <v>1.3120412022130299E-5</v>
      </c>
      <c r="J37" s="105">
        <v>2.93729373408524E-5</v>
      </c>
      <c r="K37" s="57" t="e">
        <f t="shared" si="1"/>
        <v>#DIV/0!</v>
      </c>
      <c r="L37" s="57" t="e">
        <f t="shared" si="2"/>
        <v>#DIV/0!</v>
      </c>
      <c r="M37" s="57" t="e">
        <f t="shared" si="3"/>
        <v>#DIV/0!</v>
      </c>
      <c r="N37" s="57" t="e">
        <f t="shared" si="4"/>
        <v>#DIV/0!</v>
      </c>
      <c r="O37" s="177"/>
      <c r="P37" s="177"/>
      <c r="Q37" s="177"/>
      <c r="R37" s="177"/>
      <c r="S37" s="78" t="e">
        <f t="shared" si="5"/>
        <v>#DIV/0!</v>
      </c>
      <c r="T37" s="78" t="e">
        <f t="shared" si="6"/>
        <v>#DIV/0!</v>
      </c>
      <c r="U37" s="78" t="e">
        <f t="shared" si="7"/>
        <v>#DIV/0!</v>
      </c>
      <c r="V37" s="78" t="e">
        <f t="shared" si="8"/>
        <v>#DIV/0!</v>
      </c>
    </row>
    <row r="38" spans="2:22" ht="14.25" customHeight="1" x14ac:dyDescent="0.2">
      <c r="B38" s="101" t="s">
        <v>131</v>
      </c>
      <c r="C38" s="12" t="s">
        <v>13</v>
      </c>
      <c r="D38" s="12" t="s">
        <v>132</v>
      </c>
      <c r="E38" s="101" t="str">
        <f t="shared" si="0"/>
        <v>Tolylfluanid</v>
      </c>
      <c r="F38" s="59">
        <v>376</v>
      </c>
      <c r="G38" s="105">
        <v>1.25253107491881E-2</v>
      </c>
      <c r="H38" s="105">
        <v>5.0823716484010198E-2</v>
      </c>
      <c r="I38" s="105">
        <v>6.2323286048665304E-6</v>
      </c>
      <c r="J38" s="105">
        <v>2.5288801913878101E-5</v>
      </c>
      <c r="K38" s="57" t="e">
        <f t="shared" si="1"/>
        <v>#DIV/0!</v>
      </c>
      <c r="L38" s="57" t="e">
        <f t="shared" si="2"/>
        <v>#DIV/0!</v>
      </c>
      <c r="M38" s="57" t="e">
        <f t="shared" si="3"/>
        <v>#DIV/0!</v>
      </c>
      <c r="N38" s="57" t="e">
        <f t="shared" si="4"/>
        <v>#DIV/0!</v>
      </c>
      <c r="O38" s="177"/>
      <c r="P38" s="177"/>
      <c r="Q38" s="177"/>
      <c r="R38" s="177"/>
      <c r="S38" s="78" t="e">
        <f t="shared" si="5"/>
        <v>#DIV/0!</v>
      </c>
      <c r="T38" s="78" t="e">
        <f t="shared" si="6"/>
        <v>#DIV/0!</v>
      </c>
      <c r="U38" s="78" t="e">
        <f t="shared" si="7"/>
        <v>#DIV/0!</v>
      </c>
      <c r="V38" s="78" t="e">
        <f t="shared" si="8"/>
        <v>#DIV/0!</v>
      </c>
    </row>
    <row r="39" spans="2:22" ht="14.25" customHeight="1" x14ac:dyDescent="0.2">
      <c r="B39" s="101" t="s">
        <v>133</v>
      </c>
      <c r="C39" s="12" t="s">
        <v>13</v>
      </c>
      <c r="D39" s="12" t="s">
        <v>134</v>
      </c>
      <c r="E39" s="101" t="str">
        <f t="shared" si="0"/>
        <v>Tolylfluanid</v>
      </c>
      <c r="F39" s="59">
        <v>627</v>
      </c>
      <c r="G39" s="105">
        <v>4.2146400250494501E-2</v>
      </c>
      <c r="H39" s="105">
        <v>2.4137073499150601E-2</v>
      </c>
      <c r="I39" s="105">
        <v>1.2423283400612501E-4</v>
      </c>
      <c r="J39" s="105">
        <v>7.1147643421685806E-5</v>
      </c>
      <c r="K39" s="57" t="e">
        <f t="shared" si="1"/>
        <v>#DIV/0!</v>
      </c>
      <c r="L39" s="57" t="e">
        <f t="shared" si="2"/>
        <v>#DIV/0!</v>
      </c>
      <c r="M39" s="57" t="e">
        <f t="shared" si="3"/>
        <v>#DIV/0!</v>
      </c>
      <c r="N39" s="57" t="e">
        <f t="shared" si="4"/>
        <v>#DIV/0!</v>
      </c>
      <c r="O39" s="177"/>
      <c r="P39" s="177"/>
      <c r="Q39" s="177"/>
      <c r="R39" s="177"/>
      <c r="S39" s="78" t="e">
        <f t="shared" si="5"/>
        <v>#DIV/0!</v>
      </c>
      <c r="T39" s="78" t="e">
        <f t="shared" si="6"/>
        <v>#DIV/0!</v>
      </c>
      <c r="U39" s="78" t="e">
        <f t="shared" si="7"/>
        <v>#DIV/0!</v>
      </c>
      <c r="V39" s="78" t="e">
        <f t="shared" si="8"/>
        <v>#DIV/0!</v>
      </c>
    </row>
    <row r="40" spans="2:22" ht="14.25" customHeight="1" x14ac:dyDescent="0.2">
      <c r="B40" s="101" t="s">
        <v>135</v>
      </c>
      <c r="C40" s="12" t="s">
        <v>13</v>
      </c>
      <c r="D40" s="12" t="s">
        <v>136</v>
      </c>
      <c r="E40" s="101" t="str">
        <f t="shared" si="0"/>
        <v>Tolylfluanid</v>
      </c>
      <c r="F40" s="59">
        <v>80</v>
      </c>
      <c r="G40" s="105">
        <v>2.2657324963808101</v>
      </c>
      <c r="H40" s="105">
        <v>9.7545047849416699E-2</v>
      </c>
      <c r="I40" s="105">
        <v>2.8590794552049701E-3</v>
      </c>
      <c r="J40" s="105">
        <v>1.2309001273630801E-4</v>
      </c>
      <c r="K40" s="57" t="e">
        <f t="shared" si="1"/>
        <v>#DIV/0!</v>
      </c>
      <c r="L40" s="57" t="e">
        <f t="shared" si="2"/>
        <v>#DIV/0!</v>
      </c>
      <c r="M40" s="57" t="e">
        <f t="shared" si="3"/>
        <v>#DIV/0!</v>
      </c>
      <c r="N40" s="57" t="e">
        <f t="shared" si="4"/>
        <v>#DIV/0!</v>
      </c>
      <c r="O40" s="177"/>
      <c r="P40" s="177"/>
      <c r="Q40" s="177"/>
      <c r="R40" s="177"/>
      <c r="S40" s="78" t="e">
        <f t="shared" si="5"/>
        <v>#DIV/0!</v>
      </c>
      <c r="T40" s="78" t="e">
        <f t="shared" si="6"/>
        <v>#DIV/0!</v>
      </c>
      <c r="U40" s="78" t="e">
        <f t="shared" si="7"/>
        <v>#DIV/0!</v>
      </c>
      <c r="V40" s="78" t="e">
        <f t="shared" si="8"/>
        <v>#DIV/0!</v>
      </c>
    </row>
    <row r="41" spans="2:22" ht="14.25" customHeight="1" x14ac:dyDescent="0.2">
      <c r="B41" s="101" t="s">
        <v>137</v>
      </c>
      <c r="C41" s="12" t="s">
        <v>13</v>
      </c>
      <c r="D41" s="12" t="s">
        <v>138</v>
      </c>
      <c r="E41" s="101" t="str">
        <f t="shared" si="0"/>
        <v>Tolylfluanid</v>
      </c>
      <c r="F41" s="59">
        <v>116</v>
      </c>
      <c r="G41" s="105">
        <v>0.275615103542805</v>
      </c>
      <c r="H41" s="105">
        <v>1.14263933245093E-2</v>
      </c>
      <c r="I41" s="105">
        <v>1.06950717838829E-4</v>
      </c>
      <c r="J41" s="105">
        <v>4.4339404829320498E-6</v>
      </c>
      <c r="K41" s="57" t="e">
        <f t="shared" si="1"/>
        <v>#DIV/0!</v>
      </c>
      <c r="L41" s="57" t="e">
        <f t="shared" si="2"/>
        <v>#DIV/0!</v>
      </c>
      <c r="M41" s="57" t="e">
        <f t="shared" si="3"/>
        <v>#DIV/0!</v>
      </c>
      <c r="N41" s="57" t="e">
        <f t="shared" si="4"/>
        <v>#DIV/0!</v>
      </c>
      <c r="O41" s="177"/>
      <c r="P41" s="177"/>
      <c r="Q41" s="177"/>
      <c r="R41" s="177"/>
      <c r="S41" s="78" t="e">
        <f t="shared" si="5"/>
        <v>#DIV/0!</v>
      </c>
      <c r="T41" s="78" t="e">
        <f t="shared" si="6"/>
        <v>#DIV/0!</v>
      </c>
      <c r="U41" s="78" t="e">
        <f t="shared" si="7"/>
        <v>#DIV/0!</v>
      </c>
      <c r="V41" s="78" t="e">
        <f t="shared" si="8"/>
        <v>#DIV/0!</v>
      </c>
    </row>
    <row r="42" spans="2:22" ht="14.25" customHeight="1" x14ac:dyDescent="0.2">
      <c r="B42" s="101" t="s">
        <v>139</v>
      </c>
      <c r="C42" s="12" t="s">
        <v>13</v>
      </c>
      <c r="D42" s="12" t="s">
        <v>140</v>
      </c>
      <c r="E42" s="101" t="str">
        <f t="shared" si="0"/>
        <v>Tolylfluanid</v>
      </c>
      <c r="F42" s="59">
        <v>80</v>
      </c>
      <c r="G42" s="105">
        <v>3.5400386750698098</v>
      </c>
      <c r="H42" s="105">
        <v>110.952206382751</v>
      </c>
      <c r="I42" s="105">
        <v>1.4241667665373799E-3</v>
      </c>
      <c r="J42" s="105">
        <v>4.4636361035906402E-2</v>
      </c>
      <c r="K42" s="57" t="e">
        <f t="shared" si="1"/>
        <v>#DIV/0!</v>
      </c>
      <c r="L42" s="57" t="e">
        <f t="shared" si="2"/>
        <v>#DIV/0!</v>
      </c>
      <c r="M42" s="57" t="e">
        <f t="shared" si="3"/>
        <v>#DIV/0!</v>
      </c>
      <c r="N42" s="57" t="e">
        <f t="shared" si="4"/>
        <v>#DIV/0!</v>
      </c>
      <c r="O42" s="177"/>
      <c r="P42" s="177"/>
      <c r="Q42" s="177"/>
      <c r="R42" s="177"/>
      <c r="S42" s="78" t="e">
        <f t="shared" si="5"/>
        <v>#DIV/0!</v>
      </c>
      <c r="T42" s="78" t="e">
        <f t="shared" si="6"/>
        <v>#DIV/0!</v>
      </c>
      <c r="U42" s="78" t="e">
        <f t="shared" si="7"/>
        <v>#DIV/0!</v>
      </c>
      <c r="V42" s="78" t="e">
        <f t="shared" si="8"/>
        <v>#DIV/0!</v>
      </c>
    </row>
    <row r="43" spans="2:22" ht="14.25" customHeight="1" x14ac:dyDescent="0.2">
      <c r="B43" s="101" t="s">
        <v>141</v>
      </c>
      <c r="C43" s="12" t="s">
        <v>13</v>
      </c>
      <c r="D43" s="12" t="s">
        <v>142</v>
      </c>
      <c r="E43" s="101" t="str">
        <f t="shared" si="0"/>
        <v>Tolylfluanid</v>
      </c>
      <c r="F43" s="59">
        <v>12</v>
      </c>
      <c r="G43" s="105">
        <v>3.9145192885398901</v>
      </c>
      <c r="H43" s="105">
        <v>6.6390271214768301E-2</v>
      </c>
      <c r="I43" s="105">
        <v>6.5552102438838702E-3</v>
      </c>
      <c r="J43" s="105">
        <v>1.11176406745509E-4</v>
      </c>
      <c r="K43" s="57" t="e">
        <f t="shared" si="1"/>
        <v>#DIV/0!</v>
      </c>
      <c r="L43" s="57" t="e">
        <f t="shared" si="2"/>
        <v>#DIV/0!</v>
      </c>
      <c r="M43" s="57" t="e">
        <f t="shared" si="3"/>
        <v>#DIV/0!</v>
      </c>
      <c r="N43" s="57" t="e">
        <f t="shared" si="4"/>
        <v>#DIV/0!</v>
      </c>
      <c r="O43" s="177"/>
      <c r="P43" s="177"/>
      <c r="Q43" s="177"/>
      <c r="R43" s="177"/>
      <c r="S43" s="78" t="e">
        <f t="shared" si="5"/>
        <v>#DIV/0!</v>
      </c>
      <c r="T43" s="78" t="e">
        <f t="shared" si="6"/>
        <v>#DIV/0!</v>
      </c>
      <c r="U43" s="78" t="e">
        <f t="shared" si="7"/>
        <v>#DIV/0!</v>
      </c>
      <c r="V43" s="78" t="e">
        <f t="shared" si="8"/>
        <v>#DIV/0!</v>
      </c>
    </row>
    <row r="44" spans="2:22" ht="14.25" customHeight="1" x14ac:dyDescent="0.2">
      <c r="B44" s="101" t="s">
        <v>143</v>
      </c>
      <c r="C44" s="12" t="s">
        <v>14</v>
      </c>
      <c r="D44" s="12">
        <v>1</v>
      </c>
      <c r="E44" s="101" t="str">
        <f t="shared" si="0"/>
        <v>Tolylfluanid</v>
      </c>
      <c r="F44" s="59">
        <v>200</v>
      </c>
      <c r="G44" s="105">
        <v>3.0403915810585</v>
      </c>
      <c r="H44" s="105">
        <v>0.45093639492988602</v>
      </c>
      <c r="I44" s="105">
        <v>7.13758691914942E-4</v>
      </c>
      <c r="J44" s="105">
        <v>1.0586128889372E-4</v>
      </c>
      <c r="K44" s="57" t="e">
        <f t="shared" si="1"/>
        <v>#DIV/0!</v>
      </c>
      <c r="L44" s="57" t="e">
        <f t="shared" si="2"/>
        <v>#DIV/0!</v>
      </c>
      <c r="M44" s="57" t="e">
        <f t="shared" si="3"/>
        <v>#DIV/0!</v>
      </c>
      <c r="N44" s="57" t="e">
        <f t="shared" si="4"/>
        <v>#DIV/0!</v>
      </c>
      <c r="O44" s="177"/>
      <c r="P44" s="177"/>
      <c r="Q44" s="177"/>
      <c r="R44" s="177"/>
      <c r="S44" s="78" t="e">
        <f t="shared" si="5"/>
        <v>#DIV/0!</v>
      </c>
      <c r="T44" s="78" t="e">
        <f t="shared" si="6"/>
        <v>#DIV/0!</v>
      </c>
      <c r="U44" s="78" t="e">
        <f t="shared" si="7"/>
        <v>#DIV/0!</v>
      </c>
      <c r="V44" s="78" t="e">
        <f t="shared" si="8"/>
        <v>#DIV/0!</v>
      </c>
    </row>
    <row r="45" spans="2:22" ht="14.25" customHeight="1" x14ac:dyDescent="0.2">
      <c r="B45" s="101" t="s">
        <v>144</v>
      </c>
      <c r="C45" s="12" t="s">
        <v>14</v>
      </c>
      <c r="D45" s="12">
        <v>3</v>
      </c>
      <c r="E45" s="101" t="str">
        <f t="shared" si="0"/>
        <v>Tolylfluanid</v>
      </c>
      <c r="F45" s="59">
        <v>60</v>
      </c>
      <c r="G45" s="105">
        <v>4.8966913294792196</v>
      </c>
      <c r="H45" s="105">
        <v>0.726253927946091</v>
      </c>
      <c r="I45" s="105">
        <v>3.2088622054592E-4</v>
      </c>
      <c r="J45" s="105">
        <v>4.7592315427398998E-5</v>
      </c>
      <c r="K45" s="57" t="e">
        <f t="shared" si="1"/>
        <v>#DIV/0!</v>
      </c>
      <c r="L45" s="57" t="e">
        <f t="shared" si="2"/>
        <v>#DIV/0!</v>
      </c>
      <c r="M45" s="57" t="e">
        <f t="shared" si="3"/>
        <v>#DIV/0!</v>
      </c>
      <c r="N45" s="57" t="e">
        <f t="shared" si="4"/>
        <v>#DIV/0!</v>
      </c>
      <c r="O45" s="177"/>
      <c r="P45" s="177"/>
      <c r="Q45" s="177"/>
      <c r="R45" s="177"/>
      <c r="S45" s="78" t="e">
        <f t="shared" si="5"/>
        <v>#DIV/0!</v>
      </c>
      <c r="T45" s="78" t="e">
        <f t="shared" si="6"/>
        <v>#DIV/0!</v>
      </c>
      <c r="U45" s="78" t="e">
        <f t="shared" si="7"/>
        <v>#DIV/0!</v>
      </c>
      <c r="V45" s="78" t="e">
        <f t="shared" si="8"/>
        <v>#DIV/0!</v>
      </c>
    </row>
    <row r="46" spans="2:22" ht="14.25" customHeight="1" x14ac:dyDescent="0.2">
      <c r="B46" s="101" t="s">
        <v>145</v>
      </c>
      <c r="C46" s="12" t="s">
        <v>14</v>
      </c>
      <c r="D46" s="12">
        <v>4</v>
      </c>
      <c r="E46" s="101" t="str">
        <f t="shared" si="0"/>
        <v>Tolylfluanid</v>
      </c>
      <c r="F46" s="59">
        <v>300</v>
      </c>
      <c r="G46" s="105">
        <v>2.2028302335739101</v>
      </c>
      <c r="H46" s="105">
        <v>0.32671328485012002</v>
      </c>
      <c r="I46" s="105">
        <v>1.2763138801403801E-4</v>
      </c>
      <c r="J46" s="105">
        <v>1.8929679374106001E-5</v>
      </c>
      <c r="K46" s="57" t="e">
        <f t="shared" si="1"/>
        <v>#DIV/0!</v>
      </c>
      <c r="L46" s="57" t="e">
        <f t="shared" si="2"/>
        <v>#DIV/0!</v>
      </c>
      <c r="M46" s="57" t="e">
        <f t="shared" si="3"/>
        <v>#DIV/0!</v>
      </c>
      <c r="N46" s="57" t="e">
        <f t="shared" si="4"/>
        <v>#DIV/0!</v>
      </c>
      <c r="O46" s="177"/>
      <c r="P46" s="177"/>
      <c r="Q46" s="177"/>
      <c r="R46" s="177"/>
      <c r="S46" s="78" t="e">
        <f t="shared" si="5"/>
        <v>#DIV/0!</v>
      </c>
      <c r="T46" s="78" t="e">
        <f t="shared" si="6"/>
        <v>#DIV/0!</v>
      </c>
      <c r="U46" s="78" t="e">
        <f t="shared" si="7"/>
        <v>#DIV/0!</v>
      </c>
      <c r="V46" s="78" t="e">
        <f t="shared" si="8"/>
        <v>#DIV/0!</v>
      </c>
    </row>
    <row r="47" spans="2:22" ht="14.25" customHeight="1" x14ac:dyDescent="0.2">
      <c r="B47" s="101" t="s">
        <v>146</v>
      </c>
      <c r="C47" s="12" t="s">
        <v>14</v>
      </c>
      <c r="D47" s="12">
        <v>6</v>
      </c>
      <c r="E47" s="101" t="str">
        <f t="shared" si="0"/>
        <v>Tolylfluanid</v>
      </c>
      <c r="F47" s="59">
        <v>350</v>
      </c>
      <c r="G47" s="105">
        <v>0.82562761425971998</v>
      </c>
      <c r="H47" s="105">
        <v>0.12245315439999099</v>
      </c>
      <c r="I47" s="105">
        <v>2.7138277116288602E-4</v>
      </c>
      <c r="J47" s="105">
        <v>4.0250199843588498E-5</v>
      </c>
      <c r="K47" s="57" t="e">
        <f t="shared" si="1"/>
        <v>#DIV/0!</v>
      </c>
      <c r="L47" s="57" t="e">
        <f t="shared" si="2"/>
        <v>#DIV/0!</v>
      </c>
      <c r="M47" s="57" t="e">
        <f t="shared" si="3"/>
        <v>#DIV/0!</v>
      </c>
      <c r="N47" s="57" t="e">
        <f t="shared" si="4"/>
        <v>#DIV/0!</v>
      </c>
      <c r="O47" s="177"/>
      <c r="P47" s="177"/>
      <c r="Q47" s="177"/>
      <c r="R47" s="177"/>
      <c r="S47" s="78" t="e">
        <f t="shared" si="5"/>
        <v>#DIV/0!</v>
      </c>
      <c r="T47" s="78" t="e">
        <f t="shared" si="6"/>
        <v>#DIV/0!</v>
      </c>
      <c r="U47" s="78" t="e">
        <f t="shared" si="7"/>
        <v>#DIV/0!</v>
      </c>
      <c r="V47" s="78" t="e">
        <f t="shared" si="8"/>
        <v>#DIV/0!</v>
      </c>
    </row>
    <row r="48" spans="2:22" ht="14.25" customHeight="1" x14ac:dyDescent="0.2">
      <c r="B48" s="101" t="s">
        <v>147</v>
      </c>
      <c r="C48" s="12" t="s">
        <v>14</v>
      </c>
      <c r="D48" s="12">
        <v>7</v>
      </c>
      <c r="E48" s="101" t="str">
        <f t="shared" si="0"/>
        <v>Tolylfluanid</v>
      </c>
      <c r="F48" s="59">
        <v>70</v>
      </c>
      <c r="G48" s="105">
        <v>4.8380352497100798</v>
      </c>
      <c r="H48" s="105">
        <v>0.717554340660572</v>
      </c>
      <c r="I48" s="105">
        <v>4.9972530388155698E-4</v>
      </c>
      <c r="J48" s="105">
        <v>7.4116876317778697E-5</v>
      </c>
      <c r="K48" s="57" t="e">
        <f t="shared" si="1"/>
        <v>#DIV/0!</v>
      </c>
      <c r="L48" s="57" t="e">
        <f t="shared" si="2"/>
        <v>#DIV/0!</v>
      </c>
      <c r="M48" s="57" t="e">
        <f t="shared" si="3"/>
        <v>#DIV/0!</v>
      </c>
      <c r="N48" s="57" t="e">
        <f t="shared" si="4"/>
        <v>#DIV/0!</v>
      </c>
      <c r="O48" s="177"/>
      <c r="P48" s="177"/>
      <c r="Q48" s="177"/>
      <c r="R48" s="177"/>
      <c r="S48" s="78" t="e">
        <f t="shared" si="5"/>
        <v>#DIV/0!</v>
      </c>
      <c r="T48" s="78" t="e">
        <f t="shared" si="6"/>
        <v>#DIV/0!</v>
      </c>
      <c r="U48" s="78" t="e">
        <f t="shared" si="7"/>
        <v>#DIV/0!</v>
      </c>
      <c r="V48" s="78" t="e">
        <f t="shared" si="8"/>
        <v>#DIV/0!</v>
      </c>
    </row>
    <row r="49" spans="2:22" ht="14.25" customHeight="1" x14ac:dyDescent="0.2">
      <c r="B49" s="101" t="s">
        <v>148</v>
      </c>
      <c r="C49" s="12" t="s">
        <v>14</v>
      </c>
      <c r="D49" s="12">
        <v>8</v>
      </c>
      <c r="E49" s="101" t="str">
        <f t="shared" si="0"/>
        <v>Tolylfluanid</v>
      </c>
      <c r="F49" s="59">
        <v>600</v>
      </c>
      <c r="G49" s="105">
        <v>0.54839574337005603</v>
      </c>
      <c r="H49" s="105">
        <v>8.1335443593561596E-2</v>
      </c>
      <c r="I49" s="105">
        <v>2.1158856707642699E-4</v>
      </c>
      <c r="J49" s="105">
        <v>3.1381808102577499E-5</v>
      </c>
      <c r="K49" s="57" t="e">
        <f t="shared" si="1"/>
        <v>#DIV/0!</v>
      </c>
      <c r="L49" s="57" t="e">
        <f t="shared" si="2"/>
        <v>#DIV/0!</v>
      </c>
      <c r="M49" s="57" t="e">
        <f t="shared" si="3"/>
        <v>#DIV/0!</v>
      </c>
      <c r="N49" s="57" t="e">
        <f t="shared" si="4"/>
        <v>#DIV/0!</v>
      </c>
      <c r="O49" s="177"/>
      <c r="P49" s="177"/>
      <c r="Q49" s="177"/>
      <c r="R49" s="177"/>
      <c r="S49" s="78" t="e">
        <f t="shared" si="5"/>
        <v>#DIV/0!</v>
      </c>
      <c r="T49" s="78" t="e">
        <f t="shared" si="6"/>
        <v>#DIV/0!</v>
      </c>
      <c r="U49" s="78" t="e">
        <f t="shared" si="7"/>
        <v>#DIV/0!</v>
      </c>
      <c r="V49" s="78" t="e">
        <f t="shared" si="8"/>
        <v>#DIV/0!</v>
      </c>
    </row>
    <row r="50" spans="2:22" ht="14.25" customHeight="1" x14ac:dyDescent="0.2">
      <c r="B50" s="101" t="s">
        <v>149</v>
      </c>
      <c r="C50" s="12" t="s">
        <v>14</v>
      </c>
      <c r="D50" s="12">
        <v>14</v>
      </c>
      <c r="E50" s="101" t="str">
        <f t="shared" si="0"/>
        <v>Tolylfluanid</v>
      </c>
      <c r="F50" s="59">
        <v>200</v>
      </c>
      <c r="G50" s="105">
        <v>1.9267106318473799</v>
      </c>
      <c r="H50" s="105">
        <v>0.28576054319739302</v>
      </c>
      <c r="I50" s="105">
        <v>4.5921821928459402E-4</v>
      </c>
      <c r="J50" s="105">
        <v>6.8109058688984697E-5</v>
      </c>
      <c r="K50" s="57" t="e">
        <f t="shared" si="1"/>
        <v>#DIV/0!</v>
      </c>
      <c r="L50" s="57" t="e">
        <f t="shared" si="2"/>
        <v>#DIV/0!</v>
      </c>
      <c r="M50" s="57" t="e">
        <f t="shared" si="3"/>
        <v>#DIV/0!</v>
      </c>
      <c r="N50" s="57" t="e">
        <f t="shared" si="4"/>
        <v>#DIV/0!</v>
      </c>
      <c r="O50" s="177"/>
      <c r="P50" s="177"/>
      <c r="Q50" s="177"/>
      <c r="R50" s="177"/>
      <c r="S50" s="78" t="e">
        <f t="shared" si="5"/>
        <v>#DIV/0!</v>
      </c>
      <c r="T50" s="78" t="e">
        <f t="shared" si="6"/>
        <v>#DIV/0!</v>
      </c>
      <c r="U50" s="78" t="e">
        <f t="shared" si="7"/>
        <v>#DIV/0!</v>
      </c>
      <c r="V50" s="78" t="e">
        <f t="shared" si="8"/>
        <v>#DIV/0!</v>
      </c>
    </row>
    <row r="51" spans="2:22" ht="14.25" customHeight="1" x14ac:dyDescent="0.2">
      <c r="B51" s="101" t="s">
        <v>150</v>
      </c>
      <c r="C51" s="12" t="s">
        <v>14</v>
      </c>
      <c r="D51" s="12">
        <v>17</v>
      </c>
      <c r="E51" s="101" t="str">
        <f t="shared" si="0"/>
        <v>Tolylfluanid</v>
      </c>
      <c r="F51" s="59">
        <v>70</v>
      </c>
      <c r="G51" s="105">
        <v>0.156003572754562</v>
      </c>
      <c r="H51" s="105">
        <v>2.31377067044377E-2</v>
      </c>
      <c r="I51" s="105">
        <v>9.6976981484565904E-4</v>
      </c>
      <c r="J51" s="105">
        <v>1.4383163919977999E-4</v>
      </c>
      <c r="K51" s="57" t="e">
        <f t="shared" si="1"/>
        <v>#DIV/0!</v>
      </c>
      <c r="L51" s="57" t="e">
        <f t="shared" si="2"/>
        <v>#DIV/0!</v>
      </c>
      <c r="M51" s="57" t="e">
        <f t="shared" si="3"/>
        <v>#DIV/0!</v>
      </c>
      <c r="N51" s="57" t="e">
        <f t="shared" si="4"/>
        <v>#DIV/0!</v>
      </c>
      <c r="O51" s="177"/>
      <c r="P51" s="177"/>
      <c r="Q51" s="177"/>
      <c r="R51" s="177"/>
      <c r="S51" s="78" t="e">
        <f t="shared" si="5"/>
        <v>#DIV/0!</v>
      </c>
      <c r="T51" s="78" t="e">
        <f t="shared" si="6"/>
        <v>#DIV/0!</v>
      </c>
      <c r="U51" s="78" t="e">
        <f t="shared" si="7"/>
        <v>#DIV/0!</v>
      </c>
      <c r="V51" s="78" t="e">
        <f t="shared" si="8"/>
        <v>#DIV/0!</v>
      </c>
    </row>
    <row r="52" spans="2:22" ht="14.25" customHeight="1" x14ac:dyDescent="0.2">
      <c r="B52" s="101" t="s">
        <v>151</v>
      </c>
      <c r="C52" s="12" t="s">
        <v>14</v>
      </c>
      <c r="D52" s="12">
        <v>21</v>
      </c>
      <c r="E52" s="101" t="str">
        <f t="shared" si="0"/>
        <v>Tolylfluanid</v>
      </c>
      <c r="F52" s="59">
        <v>375</v>
      </c>
      <c r="G52" s="105">
        <v>0.57874629244208298</v>
      </c>
      <c r="H52" s="105">
        <v>8.5836892947554602E-2</v>
      </c>
      <c r="I52" s="105">
        <v>4.4694408552215599E-4</v>
      </c>
      <c r="J52" s="105">
        <v>6.6288617240063897E-5</v>
      </c>
      <c r="K52" s="57" t="e">
        <f t="shared" si="1"/>
        <v>#DIV/0!</v>
      </c>
      <c r="L52" s="57" t="e">
        <f t="shared" si="2"/>
        <v>#DIV/0!</v>
      </c>
      <c r="M52" s="57" t="e">
        <f t="shared" si="3"/>
        <v>#DIV/0!</v>
      </c>
      <c r="N52" s="57" t="e">
        <f t="shared" si="4"/>
        <v>#DIV/0!</v>
      </c>
      <c r="O52" s="177"/>
      <c r="P52" s="177"/>
      <c r="Q52" s="177"/>
      <c r="R52" s="177"/>
      <c r="S52" s="78" t="e">
        <f t="shared" si="5"/>
        <v>#DIV/0!</v>
      </c>
      <c r="T52" s="78" t="e">
        <f t="shared" si="6"/>
        <v>#DIV/0!</v>
      </c>
      <c r="U52" s="78" t="e">
        <f t="shared" si="7"/>
        <v>#DIV/0!</v>
      </c>
      <c r="V52" s="78" t="e">
        <f t="shared" si="8"/>
        <v>#DIV/0!</v>
      </c>
    </row>
    <row r="53" spans="2:22" ht="14.25" customHeight="1" x14ac:dyDescent="0.2">
      <c r="B53" s="101" t="s">
        <v>152</v>
      </c>
      <c r="C53" s="12" t="s">
        <v>14</v>
      </c>
      <c r="D53" s="12">
        <v>26</v>
      </c>
      <c r="E53" s="101" t="str">
        <f t="shared" si="0"/>
        <v>Tolylfluanid</v>
      </c>
      <c r="F53" s="59">
        <v>700</v>
      </c>
      <c r="G53" s="105">
        <v>0.28161191672086699</v>
      </c>
      <c r="H53" s="105">
        <v>4.17673375457525E-2</v>
      </c>
      <c r="I53" s="105">
        <v>2.4775175910842E-5</v>
      </c>
      <c r="J53" s="105">
        <v>3.6745360743850598E-6</v>
      </c>
      <c r="K53" s="57" t="e">
        <f t="shared" si="1"/>
        <v>#DIV/0!</v>
      </c>
      <c r="L53" s="57" t="e">
        <f t="shared" si="2"/>
        <v>#DIV/0!</v>
      </c>
      <c r="M53" s="57" t="e">
        <f t="shared" si="3"/>
        <v>#DIV/0!</v>
      </c>
      <c r="N53" s="57" t="e">
        <f t="shared" si="4"/>
        <v>#DIV/0!</v>
      </c>
      <c r="O53" s="177"/>
      <c r="P53" s="177"/>
      <c r="Q53" s="177"/>
      <c r="R53" s="177"/>
      <c r="S53" s="78" t="e">
        <f t="shared" si="5"/>
        <v>#DIV/0!</v>
      </c>
      <c r="T53" s="78" t="e">
        <f t="shared" si="6"/>
        <v>#DIV/0!</v>
      </c>
      <c r="U53" s="78" t="e">
        <f t="shared" si="7"/>
        <v>#DIV/0!</v>
      </c>
      <c r="V53" s="78" t="e">
        <f t="shared" si="8"/>
        <v>#DIV/0!</v>
      </c>
    </row>
    <row r="54" spans="2:22" ht="14.25" customHeight="1" x14ac:dyDescent="0.2">
      <c r="B54" s="101" t="s">
        <v>153</v>
      </c>
      <c r="C54" s="12" t="s">
        <v>14</v>
      </c>
      <c r="D54" s="12">
        <v>30</v>
      </c>
      <c r="E54" s="101" t="str">
        <f t="shared" si="0"/>
        <v>Tolylfluanid</v>
      </c>
      <c r="F54" s="59">
        <v>320</v>
      </c>
      <c r="G54" s="105">
        <v>1.64343088746071</v>
      </c>
      <c r="H54" s="105">
        <v>0.24374583959579499</v>
      </c>
      <c r="I54" s="105">
        <v>6.3501140917338996E-5</v>
      </c>
      <c r="J54" s="105">
        <v>9.4181866974208003E-6</v>
      </c>
      <c r="K54" s="57" t="e">
        <f t="shared" si="1"/>
        <v>#DIV/0!</v>
      </c>
      <c r="L54" s="57" t="e">
        <f t="shared" si="2"/>
        <v>#DIV/0!</v>
      </c>
      <c r="M54" s="57" t="e">
        <f t="shared" si="3"/>
        <v>#DIV/0!</v>
      </c>
      <c r="N54" s="57" t="e">
        <f t="shared" si="4"/>
        <v>#DIV/0!</v>
      </c>
      <c r="O54" s="177"/>
      <c r="P54" s="177"/>
      <c r="Q54" s="177"/>
      <c r="R54" s="177"/>
      <c r="S54" s="78" t="e">
        <f t="shared" si="5"/>
        <v>#DIV/0!</v>
      </c>
      <c r="T54" s="78" t="e">
        <f t="shared" si="6"/>
        <v>#DIV/0!</v>
      </c>
      <c r="U54" s="78" t="e">
        <f t="shared" si="7"/>
        <v>#DIV/0!</v>
      </c>
      <c r="V54" s="78" t="e">
        <f t="shared" si="8"/>
        <v>#DIV/0!</v>
      </c>
    </row>
    <row r="55" spans="2:22" ht="14.25" customHeight="1" x14ac:dyDescent="0.2">
      <c r="B55" s="101" t="s">
        <v>154</v>
      </c>
      <c r="C55" s="12" t="s">
        <v>14</v>
      </c>
      <c r="D55" s="12">
        <v>34</v>
      </c>
      <c r="E55" s="101" t="str">
        <f t="shared" si="0"/>
        <v>Tolylfluanid</v>
      </c>
      <c r="F55" s="59">
        <v>1200</v>
      </c>
      <c r="G55" s="105">
        <v>0.18305737465620001</v>
      </c>
      <c r="H55" s="105">
        <v>2.7150197755545401E-2</v>
      </c>
      <c r="I55" s="105">
        <v>5.6640501123865799E-5</v>
      </c>
      <c r="J55" s="105">
        <v>8.4006493007630405E-6</v>
      </c>
      <c r="K55" s="57" t="e">
        <f t="shared" si="1"/>
        <v>#DIV/0!</v>
      </c>
      <c r="L55" s="57" t="e">
        <f t="shared" si="2"/>
        <v>#DIV/0!</v>
      </c>
      <c r="M55" s="57" t="e">
        <f t="shared" si="3"/>
        <v>#DIV/0!</v>
      </c>
      <c r="N55" s="57" t="e">
        <f t="shared" si="4"/>
        <v>#DIV/0!</v>
      </c>
      <c r="O55" s="177"/>
      <c r="P55" s="177"/>
      <c r="Q55" s="177"/>
      <c r="R55" s="177"/>
      <c r="S55" s="78" t="e">
        <f t="shared" si="5"/>
        <v>#DIV/0!</v>
      </c>
      <c r="T55" s="78" t="e">
        <f t="shared" si="6"/>
        <v>#DIV/0!</v>
      </c>
      <c r="U55" s="78" t="e">
        <f t="shared" si="7"/>
        <v>#DIV/0!</v>
      </c>
      <c r="V55" s="78" t="e">
        <f t="shared" si="8"/>
        <v>#DIV/0!</v>
      </c>
    </row>
    <row r="56" spans="2:22" ht="14.25" customHeight="1" x14ac:dyDescent="0.2">
      <c r="B56" s="101" t="s">
        <v>155</v>
      </c>
      <c r="C56" s="12" t="s">
        <v>14</v>
      </c>
      <c r="D56" s="12">
        <v>40</v>
      </c>
      <c r="E56" s="101" t="str">
        <f t="shared" si="0"/>
        <v>Tolylfluanid</v>
      </c>
      <c r="F56" s="59">
        <v>200</v>
      </c>
      <c r="G56" s="105">
        <v>0.60081969961523995</v>
      </c>
      <c r="H56" s="105">
        <v>8.9110715445131106E-2</v>
      </c>
      <c r="I56" s="105">
        <v>1.3187281270023599E-3</v>
      </c>
      <c r="J56" s="105">
        <v>1.9558747316943099E-4</v>
      </c>
      <c r="K56" s="57" t="e">
        <f t="shared" si="1"/>
        <v>#DIV/0!</v>
      </c>
      <c r="L56" s="57" t="e">
        <f t="shared" si="2"/>
        <v>#DIV/0!</v>
      </c>
      <c r="M56" s="57" t="e">
        <f t="shared" si="3"/>
        <v>#DIV/0!</v>
      </c>
      <c r="N56" s="57" t="e">
        <f t="shared" si="4"/>
        <v>#DIV/0!</v>
      </c>
      <c r="O56" s="177"/>
      <c r="P56" s="177"/>
      <c r="Q56" s="177"/>
      <c r="R56" s="177"/>
      <c r="S56" s="78" t="e">
        <f t="shared" si="5"/>
        <v>#DIV/0!</v>
      </c>
      <c r="T56" s="78" t="e">
        <f t="shared" si="6"/>
        <v>#DIV/0!</v>
      </c>
      <c r="U56" s="78" t="e">
        <f t="shared" si="7"/>
        <v>#DIV/0!</v>
      </c>
      <c r="V56" s="78" t="e">
        <f t="shared" si="8"/>
        <v>#DIV/0!</v>
      </c>
    </row>
    <row r="57" spans="2:22" ht="14.25" customHeight="1" x14ac:dyDescent="0.2">
      <c r="B57" s="101" t="s">
        <v>156</v>
      </c>
      <c r="C57" s="12" t="s">
        <v>14</v>
      </c>
      <c r="D57" s="12">
        <v>42</v>
      </c>
      <c r="E57" s="101" t="str">
        <f t="shared" si="0"/>
        <v>Tolylfluanid</v>
      </c>
      <c r="F57" s="59">
        <v>350</v>
      </c>
      <c r="G57" s="105">
        <v>0.451495836898684</v>
      </c>
      <c r="H57" s="105">
        <v>6.6963711436837894E-2</v>
      </c>
      <c r="I57" s="105">
        <v>1.56882514423691E-3</v>
      </c>
      <c r="J57" s="105">
        <v>2.32680671261952E-4</v>
      </c>
      <c r="K57" s="57" t="e">
        <f t="shared" si="1"/>
        <v>#DIV/0!</v>
      </c>
      <c r="L57" s="57" t="e">
        <f t="shared" si="2"/>
        <v>#DIV/0!</v>
      </c>
      <c r="M57" s="57" t="e">
        <f t="shared" si="3"/>
        <v>#DIV/0!</v>
      </c>
      <c r="N57" s="57" t="e">
        <f t="shared" si="4"/>
        <v>#DIV/0!</v>
      </c>
      <c r="O57" s="177"/>
      <c r="P57" s="177"/>
      <c r="Q57" s="177"/>
      <c r="R57" s="177"/>
      <c r="S57" s="78" t="e">
        <f t="shared" si="5"/>
        <v>#DIV/0!</v>
      </c>
      <c r="T57" s="78" t="e">
        <f t="shared" si="6"/>
        <v>#DIV/0!</v>
      </c>
      <c r="U57" s="78" t="e">
        <f t="shared" si="7"/>
        <v>#DIV/0!</v>
      </c>
      <c r="V57" s="78" t="e">
        <f t="shared" si="8"/>
        <v>#DIV/0!</v>
      </c>
    </row>
    <row r="58" spans="2:22" ht="14.25" customHeight="1" x14ac:dyDescent="0.2">
      <c r="B58" s="101" t="s">
        <v>157</v>
      </c>
      <c r="C58" s="12" t="s">
        <v>14</v>
      </c>
      <c r="D58" s="12">
        <v>44</v>
      </c>
      <c r="E58" s="101" t="str">
        <f t="shared" si="0"/>
        <v>Tolylfluanid</v>
      </c>
      <c r="F58" s="59">
        <v>500</v>
      </c>
      <c r="G58" s="105">
        <v>0.53731472760438903</v>
      </c>
      <c r="H58" s="105">
        <v>7.9691960290074401E-2</v>
      </c>
      <c r="I58" s="105">
        <v>1.04877567135494E-4</v>
      </c>
      <c r="J58" s="105">
        <v>1.5554941023765401E-5</v>
      </c>
      <c r="K58" s="57" t="e">
        <f t="shared" si="1"/>
        <v>#DIV/0!</v>
      </c>
      <c r="L58" s="57" t="e">
        <f t="shared" si="2"/>
        <v>#DIV/0!</v>
      </c>
      <c r="M58" s="57" t="e">
        <f t="shared" si="3"/>
        <v>#DIV/0!</v>
      </c>
      <c r="N58" s="57" t="e">
        <f t="shared" si="4"/>
        <v>#DIV/0!</v>
      </c>
      <c r="O58" s="177"/>
      <c r="P58" s="177"/>
      <c r="Q58" s="177"/>
      <c r="R58" s="177"/>
      <c r="S58" s="78" t="e">
        <f t="shared" si="5"/>
        <v>#DIV/0!</v>
      </c>
      <c r="T58" s="78" t="e">
        <f t="shared" si="6"/>
        <v>#DIV/0!</v>
      </c>
      <c r="U58" s="78" t="e">
        <f t="shared" si="7"/>
        <v>#DIV/0!</v>
      </c>
      <c r="V58" s="78" t="e">
        <f t="shared" si="8"/>
        <v>#DIV/0!</v>
      </c>
    </row>
    <row r="59" spans="2:22" ht="14.25" customHeight="1" x14ac:dyDescent="0.2">
      <c r="B59" s="101" t="s">
        <v>158</v>
      </c>
      <c r="C59" s="12" t="s">
        <v>14</v>
      </c>
      <c r="D59" s="12">
        <v>45</v>
      </c>
      <c r="E59" s="101" t="str">
        <f t="shared" si="0"/>
        <v>Tolylfluanid</v>
      </c>
      <c r="F59" s="59">
        <v>160</v>
      </c>
      <c r="G59" s="105">
        <v>0.81062781900167502</v>
      </c>
      <c r="H59" s="105">
        <v>0.120228456109762</v>
      </c>
      <c r="I59" s="105">
        <v>1.89857847485049E-3</v>
      </c>
      <c r="J59" s="105">
        <v>2.8158811339873597E-4</v>
      </c>
      <c r="K59" s="57" t="e">
        <f t="shared" si="1"/>
        <v>#DIV/0!</v>
      </c>
      <c r="L59" s="57" t="e">
        <f t="shared" si="2"/>
        <v>#DIV/0!</v>
      </c>
      <c r="M59" s="57" t="e">
        <f t="shared" si="3"/>
        <v>#DIV/0!</v>
      </c>
      <c r="N59" s="57" t="e">
        <f t="shared" si="4"/>
        <v>#DIV/0!</v>
      </c>
      <c r="O59" s="177"/>
      <c r="P59" s="177"/>
      <c r="Q59" s="177"/>
      <c r="R59" s="177"/>
      <c r="S59" s="78" t="e">
        <f t="shared" si="5"/>
        <v>#DIV/0!</v>
      </c>
      <c r="T59" s="78" t="e">
        <f t="shared" si="6"/>
        <v>#DIV/0!</v>
      </c>
      <c r="U59" s="78" t="e">
        <f t="shared" si="7"/>
        <v>#DIV/0!</v>
      </c>
      <c r="V59" s="78" t="e">
        <f t="shared" si="8"/>
        <v>#DIV/0!</v>
      </c>
    </row>
    <row r="60" spans="2:22" ht="14.25" customHeight="1" x14ac:dyDescent="0.2">
      <c r="B60" s="101" t="s">
        <v>159</v>
      </c>
      <c r="C60" s="12" t="s">
        <v>14</v>
      </c>
      <c r="D60" s="12">
        <v>46</v>
      </c>
      <c r="E60" s="101" t="str">
        <f t="shared" si="0"/>
        <v>Tolylfluanid</v>
      </c>
      <c r="F60" s="59">
        <v>450</v>
      </c>
      <c r="G60" s="105">
        <v>0.28410396039485902</v>
      </c>
      <c r="H60" s="105">
        <v>4.2136946171522097E-2</v>
      </c>
      <c r="I60" s="105">
        <v>1.30764374406417E-5</v>
      </c>
      <c r="J60" s="105">
        <v>1.9394349037169301E-6</v>
      </c>
      <c r="K60" s="57" t="e">
        <f t="shared" si="1"/>
        <v>#DIV/0!</v>
      </c>
      <c r="L60" s="57" t="e">
        <f t="shared" si="2"/>
        <v>#DIV/0!</v>
      </c>
      <c r="M60" s="57" t="e">
        <f t="shared" si="3"/>
        <v>#DIV/0!</v>
      </c>
      <c r="N60" s="57" t="e">
        <f t="shared" si="4"/>
        <v>#DIV/0!</v>
      </c>
      <c r="O60" s="177"/>
      <c r="P60" s="177"/>
      <c r="Q60" s="177"/>
      <c r="R60" s="177"/>
      <c r="S60" s="78" t="e">
        <f t="shared" si="5"/>
        <v>#DIV/0!</v>
      </c>
      <c r="T60" s="78" t="e">
        <f t="shared" si="6"/>
        <v>#DIV/0!</v>
      </c>
      <c r="U60" s="78" t="e">
        <f t="shared" si="7"/>
        <v>#DIV/0!</v>
      </c>
      <c r="V60" s="78" t="e">
        <f t="shared" si="8"/>
        <v>#DIV/0!</v>
      </c>
    </row>
    <row r="61" spans="2:22" ht="14.25" customHeight="1" x14ac:dyDescent="0.2">
      <c r="B61" s="101" t="s">
        <v>160</v>
      </c>
      <c r="C61" s="12" t="s">
        <v>14</v>
      </c>
      <c r="D61" s="12">
        <v>48</v>
      </c>
      <c r="E61" s="101" t="str">
        <f t="shared" si="0"/>
        <v>Tolylfluanid</v>
      </c>
      <c r="F61" s="59">
        <v>365</v>
      </c>
      <c r="G61" s="105">
        <v>0.572533550858498</v>
      </c>
      <c r="H61" s="105">
        <v>8.4915448352694503E-2</v>
      </c>
      <c r="I61" s="105">
        <v>8.81392293851806E-5</v>
      </c>
      <c r="J61" s="105">
        <v>1.30723906042678E-5</v>
      </c>
      <c r="K61" s="57" t="e">
        <f t="shared" si="1"/>
        <v>#DIV/0!</v>
      </c>
      <c r="L61" s="57" t="e">
        <f t="shared" si="2"/>
        <v>#DIV/0!</v>
      </c>
      <c r="M61" s="57" t="e">
        <f t="shared" si="3"/>
        <v>#DIV/0!</v>
      </c>
      <c r="N61" s="57" t="e">
        <f t="shared" si="4"/>
        <v>#DIV/0!</v>
      </c>
      <c r="O61" s="177"/>
      <c r="P61" s="177"/>
      <c r="Q61" s="177"/>
      <c r="R61" s="177"/>
      <c r="S61" s="78" t="e">
        <f t="shared" si="5"/>
        <v>#DIV/0!</v>
      </c>
      <c r="T61" s="78" t="e">
        <f t="shared" si="6"/>
        <v>#DIV/0!</v>
      </c>
      <c r="U61" s="78" t="e">
        <f t="shared" si="7"/>
        <v>#DIV/0!</v>
      </c>
      <c r="V61" s="78" t="e">
        <f t="shared" si="8"/>
        <v>#DIV/0!</v>
      </c>
    </row>
    <row r="62" spans="2:22" ht="14.25" customHeight="1" x14ac:dyDescent="0.2">
      <c r="B62" s="101" t="s">
        <v>161</v>
      </c>
      <c r="C62" s="12" t="s">
        <v>162</v>
      </c>
      <c r="D62" s="12">
        <v>1</v>
      </c>
      <c r="E62" s="101" t="str">
        <f t="shared" si="0"/>
        <v>Tolylfluanid</v>
      </c>
      <c r="F62" s="59">
        <v>54</v>
      </c>
      <c r="G62" s="105">
        <v>0.95996796667575801</v>
      </c>
      <c r="H62" s="105">
        <v>4.2982002464123099E-2</v>
      </c>
      <c r="I62" s="105">
        <v>1.8534607361603199E-3</v>
      </c>
      <c r="J62" s="105">
        <v>8.2987616514971897E-5</v>
      </c>
      <c r="K62" s="57" t="e">
        <f t="shared" si="1"/>
        <v>#DIV/0!</v>
      </c>
      <c r="L62" s="57" t="e">
        <f t="shared" si="2"/>
        <v>#DIV/0!</v>
      </c>
      <c r="M62" s="57" t="e">
        <f t="shared" si="3"/>
        <v>#DIV/0!</v>
      </c>
      <c r="N62" s="57" t="e">
        <f t="shared" si="4"/>
        <v>#DIV/0!</v>
      </c>
      <c r="O62" s="177"/>
      <c r="P62" s="177"/>
      <c r="Q62" s="177"/>
      <c r="R62" s="177"/>
      <c r="S62" s="78" t="e">
        <f t="shared" si="5"/>
        <v>#DIV/0!</v>
      </c>
      <c r="T62" s="78" t="e">
        <f t="shared" si="6"/>
        <v>#DIV/0!</v>
      </c>
      <c r="U62" s="78" t="e">
        <f t="shared" si="7"/>
        <v>#DIV/0!</v>
      </c>
      <c r="V62" s="78" t="e">
        <f t="shared" si="8"/>
        <v>#DIV/0!</v>
      </c>
    </row>
    <row r="63" spans="2:22" ht="14.25" customHeight="1" x14ac:dyDescent="0.2">
      <c r="B63" s="101" t="s">
        <v>163</v>
      </c>
      <c r="C63" s="12" t="s">
        <v>162</v>
      </c>
      <c r="D63" s="12">
        <v>2</v>
      </c>
      <c r="E63" s="101" t="str">
        <f t="shared" si="0"/>
        <v>Tolylfluanid</v>
      </c>
      <c r="F63" s="59">
        <v>400</v>
      </c>
      <c r="G63" s="105">
        <v>0.55069970607757601</v>
      </c>
      <c r="H63" s="105">
        <v>6.1952906809747202E-2</v>
      </c>
      <c r="I63" s="105">
        <v>8.6620709135260408E-6</v>
      </c>
      <c r="J63" s="105">
        <v>9.7447023363083993E-7</v>
      </c>
      <c r="K63" s="57" t="e">
        <f t="shared" si="1"/>
        <v>#DIV/0!</v>
      </c>
      <c r="L63" s="57" t="e">
        <f t="shared" si="2"/>
        <v>#DIV/0!</v>
      </c>
      <c r="M63" s="57" t="e">
        <f t="shared" si="3"/>
        <v>#DIV/0!</v>
      </c>
      <c r="N63" s="57" t="e">
        <f t="shared" si="4"/>
        <v>#DIV/0!</v>
      </c>
      <c r="O63" s="177"/>
      <c r="P63" s="177"/>
      <c r="Q63" s="177"/>
      <c r="R63" s="177"/>
      <c r="S63" s="78" t="e">
        <f t="shared" si="5"/>
        <v>#DIV/0!</v>
      </c>
      <c r="T63" s="78" t="e">
        <f t="shared" si="6"/>
        <v>#DIV/0!</v>
      </c>
      <c r="U63" s="78" t="e">
        <f t="shared" si="7"/>
        <v>#DIV/0!</v>
      </c>
      <c r="V63" s="78" t="e">
        <f t="shared" si="8"/>
        <v>#DIV/0!</v>
      </c>
    </row>
    <row r="64" spans="2:22" ht="14.25" customHeight="1" x14ac:dyDescent="0.2">
      <c r="B64" s="101" t="s">
        <v>164</v>
      </c>
      <c r="C64" s="12" t="s">
        <v>162</v>
      </c>
      <c r="D64" s="12">
        <v>3</v>
      </c>
      <c r="E64" s="101" t="str">
        <f t="shared" si="0"/>
        <v>Tolylfluanid</v>
      </c>
      <c r="F64" s="59">
        <v>180</v>
      </c>
      <c r="G64" s="105">
        <v>2.3436444379123199E-3</v>
      </c>
      <c r="H64" s="105">
        <v>2.6365655191641797E-4</v>
      </c>
      <c r="I64" s="105">
        <v>1.3940524315698399E-4</v>
      </c>
      <c r="J64" s="105">
        <v>1.5682884769410301E-5</v>
      </c>
      <c r="K64" s="57" t="e">
        <f t="shared" si="1"/>
        <v>#DIV/0!</v>
      </c>
      <c r="L64" s="57" t="e">
        <f t="shared" si="2"/>
        <v>#DIV/0!</v>
      </c>
      <c r="M64" s="57" t="e">
        <f t="shared" si="3"/>
        <v>#DIV/0!</v>
      </c>
      <c r="N64" s="57" t="e">
        <f t="shared" si="4"/>
        <v>#DIV/0!</v>
      </c>
      <c r="O64" s="177"/>
      <c r="P64" s="177"/>
      <c r="Q64" s="177"/>
      <c r="R64" s="177"/>
      <c r="S64" s="78" t="e">
        <f t="shared" si="5"/>
        <v>#DIV/0!</v>
      </c>
      <c r="T64" s="78" t="e">
        <f t="shared" si="6"/>
        <v>#DIV/0!</v>
      </c>
      <c r="U64" s="78" t="e">
        <f t="shared" si="7"/>
        <v>#DIV/0!</v>
      </c>
      <c r="V64" s="78" t="e">
        <f t="shared" si="8"/>
        <v>#DIV/0!</v>
      </c>
    </row>
    <row r="65" spans="1:22" ht="14.25" customHeight="1" x14ac:dyDescent="0.2">
      <c r="B65" s="101" t="s">
        <v>165</v>
      </c>
      <c r="C65" s="12" t="s">
        <v>162</v>
      </c>
      <c r="D65" s="12">
        <v>4</v>
      </c>
      <c r="E65" s="101" t="str">
        <f t="shared" si="0"/>
        <v>Tolylfluanid</v>
      </c>
      <c r="F65" s="59">
        <v>85</v>
      </c>
      <c r="G65" s="105">
        <v>3.6260869395732902</v>
      </c>
      <c r="H65" s="105">
        <v>0.62492654442787199</v>
      </c>
      <c r="I65" s="105">
        <v>1.4972326397220399E-3</v>
      </c>
      <c r="J65" s="105">
        <v>2.5803584709778102E-4</v>
      </c>
      <c r="K65" s="57" t="e">
        <f t="shared" si="1"/>
        <v>#DIV/0!</v>
      </c>
      <c r="L65" s="57" t="e">
        <f t="shared" si="2"/>
        <v>#DIV/0!</v>
      </c>
      <c r="M65" s="57" t="e">
        <f t="shared" si="3"/>
        <v>#DIV/0!</v>
      </c>
      <c r="N65" s="57" t="e">
        <f t="shared" si="4"/>
        <v>#DIV/0!</v>
      </c>
      <c r="O65" s="177"/>
      <c r="P65" s="177"/>
      <c r="Q65" s="177"/>
      <c r="R65" s="177"/>
      <c r="S65" s="78" t="e">
        <f t="shared" si="5"/>
        <v>#DIV/0!</v>
      </c>
      <c r="T65" s="78" t="e">
        <f t="shared" si="6"/>
        <v>#DIV/0!</v>
      </c>
      <c r="U65" s="78" t="e">
        <f t="shared" si="7"/>
        <v>#DIV/0!</v>
      </c>
      <c r="V65" s="78" t="e">
        <f t="shared" si="8"/>
        <v>#DIV/0!</v>
      </c>
    </row>
    <row r="66" spans="1:22" ht="14.25" customHeight="1" x14ac:dyDescent="0.2">
      <c r="B66" s="101" t="s">
        <v>166</v>
      </c>
      <c r="C66" s="12" t="s">
        <v>162</v>
      </c>
      <c r="D66" s="12">
        <v>5</v>
      </c>
      <c r="E66" s="101" t="str">
        <f t="shared" si="0"/>
        <v>Tolylfluanid</v>
      </c>
      <c r="F66" s="59">
        <v>80</v>
      </c>
      <c r="G66" s="105">
        <v>5.0690897226333602</v>
      </c>
      <c r="H66" s="105">
        <v>0.57026514232158698</v>
      </c>
      <c r="I66" s="105">
        <v>4.2230495539530302E-5</v>
      </c>
      <c r="J66" s="105">
        <v>4.7508686354625803E-6</v>
      </c>
      <c r="K66" s="57" t="e">
        <f t="shared" si="1"/>
        <v>#DIV/0!</v>
      </c>
      <c r="L66" s="57" t="e">
        <f t="shared" si="2"/>
        <v>#DIV/0!</v>
      </c>
      <c r="M66" s="57" t="e">
        <f t="shared" si="3"/>
        <v>#DIV/0!</v>
      </c>
      <c r="N66" s="57" t="e">
        <f t="shared" si="4"/>
        <v>#DIV/0!</v>
      </c>
      <c r="O66" s="177"/>
      <c r="P66" s="177"/>
      <c r="Q66" s="177"/>
      <c r="R66" s="177"/>
      <c r="S66" s="78" t="e">
        <f t="shared" si="5"/>
        <v>#DIV/0!</v>
      </c>
      <c r="T66" s="78" t="e">
        <f t="shared" si="6"/>
        <v>#DIV/0!</v>
      </c>
      <c r="U66" s="78" t="e">
        <f t="shared" si="7"/>
        <v>#DIV/0!</v>
      </c>
      <c r="V66" s="78" t="e">
        <f t="shared" si="8"/>
        <v>#DIV/0!</v>
      </c>
    </row>
    <row r="67" spans="1:22" x14ac:dyDescent="0.2">
      <c r="B67" s="175" t="s">
        <v>15</v>
      </c>
      <c r="C67" s="175"/>
      <c r="D67" s="175"/>
      <c r="E67" s="175"/>
      <c r="F67" s="58"/>
      <c r="G67" s="58"/>
      <c r="H67" s="58"/>
      <c r="I67" s="58"/>
      <c r="J67" s="58"/>
      <c r="K67" s="79" t="e">
        <f>MAX($K$21:$K$66)</f>
        <v>#DIV/0!</v>
      </c>
      <c r="L67" s="79" t="e">
        <f>MAX($L$21:$L$66)</f>
        <v>#DIV/0!</v>
      </c>
      <c r="M67" s="79" t="e">
        <f>MAX($M$21:$M$66)</f>
        <v>#DIV/0!</v>
      </c>
      <c r="N67" s="79" t="e">
        <f>MAX($N$21:$N$66)</f>
        <v>#DIV/0!</v>
      </c>
      <c r="O67" s="79"/>
      <c r="P67" s="79"/>
      <c r="Q67" s="79"/>
      <c r="R67" s="79"/>
      <c r="S67" s="79" t="e">
        <f>MAX($S$21:$S$66)</f>
        <v>#DIV/0!</v>
      </c>
      <c r="T67" s="79" t="e">
        <f>MAX($T$21:$T$66)</f>
        <v>#DIV/0!</v>
      </c>
      <c r="U67" s="79" t="e">
        <f>MAX($U$21:$U$66)</f>
        <v>#DIV/0!</v>
      </c>
      <c r="V67" s="79" t="e">
        <f>MAX($V$21:$V$66)</f>
        <v>#DIV/0!</v>
      </c>
    </row>
    <row r="68" spans="1:22" x14ac:dyDescent="0.2">
      <c r="B68" s="175" t="s">
        <v>16</v>
      </c>
      <c r="C68" s="175"/>
      <c r="D68" s="175"/>
      <c r="E68" s="175"/>
      <c r="F68" s="58"/>
      <c r="G68" s="58"/>
      <c r="H68" s="58"/>
      <c r="I68" s="58"/>
      <c r="J68" s="58"/>
      <c r="K68" s="79" t="e">
        <f>MIN($K$21:$K$66)</f>
        <v>#DIV/0!</v>
      </c>
      <c r="L68" s="79" t="e">
        <f>MIN($L$21:$L$66)</f>
        <v>#DIV/0!</v>
      </c>
      <c r="M68" s="79" t="e">
        <f>MIN($M$21:$M$66)</f>
        <v>#DIV/0!</v>
      </c>
      <c r="N68" s="79" t="e">
        <f>MIN($N$21:$N$66)</f>
        <v>#DIV/0!</v>
      </c>
      <c r="O68" s="79"/>
      <c r="P68" s="79"/>
      <c r="Q68" s="79"/>
      <c r="R68" s="79"/>
      <c r="S68" s="79" t="e">
        <f>MIN($S$21:$S$66)</f>
        <v>#DIV/0!</v>
      </c>
      <c r="T68" s="79" t="e">
        <f>MIN($T$21:$T$66)</f>
        <v>#DIV/0!</v>
      </c>
      <c r="U68" s="79" t="e">
        <f>MIN($U$21:$U$66)</f>
        <v>#DIV/0!</v>
      </c>
      <c r="V68" s="79" t="e">
        <f>MIN($V$21:$V$66)</f>
        <v>#DIV/0!</v>
      </c>
    </row>
    <row r="69" spans="1:22" x14ac:dyDescent="0.2">
      <c r="A69"/>
      <c r="B69" s="18"/>
      <c r="C69" s="18"/>
      <c r="D69" s="18"/>
      <c r="E69" s="91" t="s">
        <v>98</v>
      </c>
      <c r="F69" s="18"/>
      <c r="G69" s="18"/>
      <c r="H69" s="18"/>
      <c r="I69" s="18"/>
      <c r="J69" s="18"/>
      <c r="K69" s="79" t="e">
        <f>_xlfn.PERCENTILE.INC(K$21:K$66,0.9)</f>
        <v>#DIV/0!</v>
      </c>
      <c r="L69" s="79" t="e">
        <f>_xlfn.PERCENTILE.INC(L$21:L$66,0.9)</f>
        <v>#DIV/0!</v>
      </c>
      <c r="M69" s="79" t="e">
        <f>_xlfn.PERCENTILE.INC(M$21:M$66,0.9)</f>
        <v>#DIV/0!</v>
      </c>
      <c r="N69" s="79" t="e">
        <f>_xlfn.PERCENTILE.INC(N$21:N$66,0.9)</f>
        <v>#DIV/0!</v>
      </c>
      <c r="O69" s="79"/>
      <c r="P69" s="79"/>
      <c r="Q69" s="79"/>
      <c r="R69" s="79"/>
      <c r="S69" s="79" t="e">
        <f>_xlfn.PERCENTILE.INC(S$21:S$66,0.9)</f>
        <v>#DIV/0!</v>
      </c>
      <c r="T69" s="79" t="e">
        <f>_xlfn.PERCENTILE.INC(T$21:T$66,0.9)</f>
        <v>#DIV/0!</v>
      </c>
      <c r="U69" s="79" t="e">
        <f>_xlfn.PERCENTILE.INC(U$21:U$66,0.9)</f>
        <v>#DIV/0!</v>
      </c>
      <c r="V69" s="79" t="e">
        <f>_xlfn.PERCENTILE.INC(V$21:V$66,0.9)</f>
        <v>#DIV/0!</v>
      </c>
    </row>
    <row r="70" spans="1:22" x14ac:dyDescent="0.2">
      <c r="B70" s="18"/>
      <c r="C70" s="18"/>
      <c r="D70" s="18"/>
      <c r="E70" s="91" t="s">
        <v>99</v>
      </c>
      <c r="F70" s="18"/>
      <c r="G70" s="18"/>
      <c r="H70" s="18"/>
      <c r="I70" s="18"/>
      <c r="J70" s="18"/>
      <c r="K70" s="79" t="e">
        <f>_xlfn.PERCENTILE.INC(K$21:K$66,0.8)</f>
        <v>#DIV/0!</v>
      </c>
      <c r="L70" s="79" t="e">
        <f>_xlfn.PERCENTILE.INC(L$21:L$66,0.8)</f>
        <v>#DIV/0!</v>
      </c>
      <c r="M70" s="79" t="e">
        <f>_xlfn.PERCENTILE.INC(M$21:M$66,0.8)</f>
        <v>#DIV/0!</v>
      </c>
      <c r="N70" s="79" t="e">
        <f>_xlfn.PERCENTILE.INC(N$21:N$66,0.8)</f>
        <v>#DIV/0!</v>
      </c>
      <c r="O70" s="79"/>
      <c r="P70" s="79"/>
      <c r="Q70" s="79"/>
      <c r="R70" s="79"/>
      <c r="S70" s="79" t="e">
        <f>_xlfn.PERCENTILE.INC(S$21:S$66,0.8)</f>
        <v>#DIV/0!</v>
      </c>
      <c r="T70" s="79" t="e">
        <f>_xlfn.PERCENTILE.INC(T$21:T$66,0.8)</f>
        <v>#DIV/0!</v>
      </c>
      <c r="U70" s="79" t="e">
        <f>_xlfn.PERCENTILE.INC(U$21:U$66,0.8)</f>
        <v>#DIV/0!</v>
      </c>
      <c r="V70" s="79" t="e">
        <f>_xlfn.PERCENTILE.INC(V$21:V$66,0.8)</f>
        <v>#DIV/0!</v>
      </c>
    </row>
    <row r="71" spans="1:22" x14ac:dyDescent="0.2">
      <c r="B71" s="18"/>
      <c r="C71" s="18"/>
      <c r="D71" s="18"/>
      <c r="E71" s="91" t="s">
        <v>100</v>
      </c>
      <c r="F71" s="18"/>
      <c r="G71" s="18"/>
      <c r="H71" s="18"/>
      <c r="I71" s="18"/>
      <c r="J71" s="18"/>
      <c r="K71" s="79" t="e">
        <f>_xlfn.PERCENTILE.INC(K$21:K$66,0.75)</f>
        <v>#DIV/0!</v>
      </c>
      <c r="L71" s="79" t="e">
        <f>_xlfn.PERCENTILE.INC(L$21:L$66,0.75)</f>
        <v>#DIV/0!</v>
      </c>
      <c r="M71" s="79" t="e">
        <f>_xlfn.PERCENTILE.INC(M$21:M$66,0.75)</f>
        <v>#DIV/0!</v>
      </c>
      <c r="N71" s="79" t="e">
        <f>_xlfn.PERCENTILE.INC(N$21:N$66,0.75)</f>
        <v>#DIV/0!</v>
      </c>
      <c r="O71" s="79"/>
      <c r="P71" s="79"/>
      <c r="Q71" s="79"/>
      <c r="R71" s="79"/>
      <c r="S71" s="79" t="e">
        <f>_xlfn.PERCENTILE.INC(S$21:S$66,0.75)</f>
        <v>#DIV/0!</v>
      </c>
      <c r="T71" s="79" t="e">
        <f>_xlfn.PERCENTILE.INC(T$21:T$66,0.75)</f>
        <v>#DIV/0!</v>
      </c>
      <c r="U71" s="79" t="e">
        <f>_xlfn.PERCENTILE.INC(U$21:U$66,0.75)</f>
        <v>#DIV/0!</v>
      </c>
      <c r="V71" s="79" t="e">
        <f>_xlfn.PERCENTILE.INC(V$21:V$66,0.75)</f>
        <v>#DIV/0!</v>
      </c>
    </row>
    <row r="72" spans="1:22" x14ac:dyDescent="0.2">
      <c r="B72" s="18"/>
      <c r="C72" s="18"/>
      <c r="D72" s="18"/>
      <c r="E72" s="91" t="s">
        <v>101</v>
      </c>
      <c r="F72" s="18"/>
      <c r="G72" s="18"/>
      <c r="H72" s="18"/>
      <c r="I72" s="18"/>
      <c r="J72" s="18"/>
      <c r="K72" s="79" t="e">
        <f>_xlfn.PERCENTILE.INC(K$21:K$66,0.5)</f>
        <v>#DIV/0!</v>
      </c>
      <c r="L72" s="79" t="e">
        <f>_xlfn.PERCENTILE.INC(L$21:L$66,0.5)</f>
        <v>#DIV/0!</v>
      </c>
      <c r="M72" s="79" t="e">
        <f>_xlfn.PERCENTILE.INC(M$21:M$66,0.5)</f>
        <v>#DIV/0!</v>
      </c>
      <c r="N72" s="79" t="e">
        <f>_xlfn.PERCENTILE.INC(N$21:N$66,0.5)</f>
        <v>#DIV/0!</v>
      </c>
      <c r="O72" s="79"/>
      <c r="P72" s="79"/>
      <c r="Q72" s="79"/>
      <c r="R72" s="79"/>
      <c r="S72" s="79" t="e">
        <f>_xlfn.PERCENTILE.INC(S$21:S$66,0.5)</f>
        <v>#DIV/0!</v>
      </c>
      <c r="T72" s="79" t="e">
        <f>_xlfn.PERCENTILE.INC(T$21:T$66,0.5)</f>
        <v>#DIV/0!</v>
      </c>
      <c r="U72" s="79" t="e">
        <f>_xlfn.PERCENTILE.INC(U$21:U$66,0.5)</f>
        <v>#DIV/0!</v>
      </c>
      <c r="V72" s="79" t="e">
        <f>_xlfn.PERCENTILE.INC(V$21:V$66,0.5)</f>
        <v>#DIV/0!</v>
      </c>
    </row>
    <row r="73" spans="1:22" x14ac:dyDescent="0.2">
      <c r="B73" s="18"/>
      <c r="C73" s="18"/>
      <c r="D73" s="18"/>
      <c r="E73" s="91" t="s">
        <v>102</v>
      </c>
      <c r="F73" s="18"/>
      <c r="G73" s="18"/>
      <c r="H73" s="18"/>
      <c r="I73" s="18"/>
      <c r="J73" s="18"/>
      <c r="K73" s="79" t="e">
        <f>_xlfn.PERCENTILE.INC(K$21:K$66,0.25)</f>
        <v>#DIV/0!</v>
      </c>
      <c r="L73" s="79" t="e">
        <f>_xlfn.PERCENTILE.INC(L$21:L$66,0.25)</f>
        <v>#DIV/0!</v>
      </c>
      <c r="M73" s="79" t="e">
        <f>_xlfn.PERCENTILE.INC(M$21:M$66,0.25)</f>
        <v>#DIV/0!</v>
      </c>
      <c r="N73" s="79" t="e">
        <f>_xlfn.PERCENTILE.INC(N$21:N$66,0.25)</f>
        <v>#DIV/0!</v>
      </c>
      <c r="O73" s="79"/>
      <c r="P73" s="79"/>
      <c r="Q73" s="79"/>
      <c r="R73" s="79"/>
      <c r="S73" s="79" t="e">
        <f>_xlfn.PERCENTILE.INC(S$21:S$66,0.25)</f>
        <v>#DIV/0!</v>
      </c>
      <c r="T73" s="79" t="e">
        <f>_xlfn.PERCENTILE.INC(T$21:T$66,0.25)</f>
        <v>#DIV/0!</v>
      </c>
      <c r="U73" s="79" t="e">
        <f>_xlfn.PERCENTILE.INC(U$21:U$66,0.25)</f>
        <v>#DIV/0!</v>
      </c>
      <c r="V73" s="79" t="e">
        <f>_xlfn.PERCENTILE.INC(V$21:V$66,0.25)</f>
        <v>#DIV/0!</v>
      </c>
    </row>
    <row r="74" spans="1:22" x14ac:dyDescent="0.2">
      <c r="B74" s="18"/>
      <c r="C74" s="18"/>
      <c r="D74" s="18"/>
      <c r="E74" s="91" t="s">
        <v>103</v>
      </c>
      <c r="F74" s="18"/>
      <c r="G74" s="18"/>
      <c r="H74" s="18"/>
      <c r="I74" s="18"/>
      <c r="J74" s="18"/>
      <c r="K74" s="79" t="e">
        <f>_xlfn.PERCENTILE.INC(K$21:K$66,0.1)</f>
        <v>#DIV/0!</v>
      </c>
      <c r="L74" s="79" t="e">
        <f>_xlfn.PERCENTILE.INC(L$21:L$66,0.1)</f>
        <v>#DIV/0!</v>
      </c>
      <c r="M74" s="79" t="e">
        <f>_xlfn.PERCENTILE.INC(M$21:M$66,0.1)</f>
        <v>#DIV/0!</v>
      </c>
      <c r="N74" s="79" t="e">
        <f>_xlfn.PERCENTILE.INC(N$21:N$66,0.1)</f>
        <v>#DIV/0!</v>
      </c>
      <c r="O74" s="79"/>
      <c r="P74" s="79"/>
      <c r="Q74" s="79"/>
      <c r="R74" s="79"/>
      <c r="S74" s="79" t="e">
        <f>_xlfn.PERCENTILE.INC(S$21:S$66,0.1)</f>
        <v>#DIV/0!</v>
      </c>
      <c r="T74" s="79" t="e">
        <f>_xlfn.PERCENTILE.INC(T$21:T$66,0.1)</f>
        <v>#DIV/0!</v>
      </c>
      <c r="U74" s="79" t="e">
        <f>_xlfn.PERCENTILE.INC(U$21:U$66,0.1)</f>
        <v>#DIV/0!</v>
      </c>
      <c r="V74" s="79" t="e">
        <f>_xlfn.PERCENTILE.INC(V$21:V$66,0.1)</f>
        <v>#DIV/0!</v>
      </c>
    </row>
  </sheetData>
  <mergeCells count="12">
    <mergeCell ref="B67:E67"/>
    <mergeCell ref="B68:E68"/>
    <mergeCell ref="B2:R2"/>
    <mergeCell ref="B19:V19"/>
    <mergeCell ref="B4:H4"/>
    <mergeCell ref="B13:H13"/>
    <mergeCell ref="O21:O66"/>
    <mergeCell ref="P21:P66"/>
    <mergeCell ref="Q21:Q66"/>
    <mergeCell ref="R21:R66"/>
    <mergeCell ref="K4:Q4"/>
    <mergeCell ref="B3: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 Introduction</vt:lpstr>
      <vt:lpstr>Instructions</vt:lpstr>
      <vt:lpstr>Index</vt:lpstr>
      <vt:lpstr>User_Input</vt:lpstr>
      <vt:lpstr>Output_Summary</vt:lpstr>
      <vt:lpstr>Output_EU marinas</vt:lpstr>
      <vt:lpstr>Output_Regulatory_Marinas</vt:lpstr>
      <vt:lpstr>Active_Subst_Input</vt:lpstr>
      <vt:lpstr>EU Marinas_Scenario_Calc</vt:lpstr>
      <vt:lpstr>Regulatory_ Marinas_Calc</vt:lpstr>
      <vt:lpstr>a</vt:lpstr>
      <vt:lpstr>Application_Conversion_Factor</vt:lpstr>
      <vt:lpstr>Application_Factor</vt:lpstr>
      <vt:lpstr>Average_biocide_release_over_the_lifetime_of_the_paint_C</vt:lpstr>
      <vt:lpstr>Average_biocide_release_over_the_lifetime_of_the_paint_M</vt:lpstr>
      <vt:lpstr>Background_Sed_Freshwater</vt:lpstr>
      <vt:lpstr>Background_SW_Freshwater</vt:lpstr>
      <vt:lpstr>Compound_Name</vt:lpstr>
      <vt:lpstr>DFT</vt:lpstr>
      <vt:lpstr>La</vt:lpstr>
      <vt:lpstr>Leaching_Conversion_Factor</vt:lpstr>
      <vt:lpstr>Mrel</vt:lpstr>
      <vt:lpstr>O_Application_Conversion_Factor</vt:lpstr>
      <vt:lpstr>O_Leaching_Conversion_Factor</vt:lpstr>
      <vt:lpstr>PNEC_Aquatic_Inside</vt:lpstr>
      <vt:lpstr>PNEC_Aquatic_Surrounding</vt:lpstr>
      <vt:lpstr>PNEC_Sediment_Inside</vt:lpstr>
      <vt:lpstr>PNEC_Sediment_Surrounding</vt:lpstr>
      <vt:lpstr>Substance</vt:lpstr>
      <vt:lpstr>t</vt:lpstr>
      <vt:lpstr>Tooltype</vt:lpstr>
      <vt:lpstr>Version</vt:lpstr>
      <vt:lpstr>VS</vt:lpstr>
      <vt:lpstr>ƿ</vt:lpstr>
      <vt:lpstr>Wa</vt:lpstr>
      <vt:lpstr>WSA_ConversionFactor</vt:lpstr>
      <vt:lpstr>WSA_freshwater</vt:lpstr>
      <vt:lpstr>WSA_OECD_default</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Joost Bakker</cp:lastModifiedBy>
  <dcterms:created xsi:type="dcterms:W3CDTF">2016-11-10T11:47:25Z</dcterms:created>
  <dcterms:modified xsi:type="dcterms:W3CDTF">2017-10-13T15:03:43Z</dcterms:modified>
</cp:coreProperties>
</file>